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F:\Forskningsprosjekter\PDB 1803 - Human Miljøbiobank I_\Forskningsfiler\NIIS\HBM4EU\Anteneh\Phthalates\Env International submission\1. Revisions\"/>
    </mc:Choice>
  </mc:AlternateContent>
  <xr:revisionPtr revIDLastSave="0" documentId="13_ncr:1_{A170CD40-7573-4F08-B04B-E7EB72F937DE}" xr6:coauthVersionLast="47" xr6:coauthVersionMax="47" xr10:uidLastSave="{00000000-0000-0000-0000-000000000000}"/>
  <bookViews>
    <workbookView xWindow="38280" yWindow="-120" windowWidth="51840" windowHeight="21120" xr2:uid="{FE8DD436-2A51-491C-A3FE-882792D1A9A9}"/>
  </bookViews>
  <sheets>
    <sheet name="Table S1. Phthalates and DINCH" sheetId="7" r:id="rId1"/>
    <sheet name="Table S2. Children concentrat" sheetId="5" r:id="rId2"/>
    <sheet name="Table S3. Adolescent concentrat" sheetId="4" r:id="rId3"/>
    <sheet name="Ark1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6" l="1"/>
  <c r="F12" i="6"/>
  <c r="F11" i="6"/>
  <c r="F10" i="6"/>
  <c r="F9" i="6"/>
  <c r="F8" i="6"/>
  <c r="F7" i="6"/>
  <c r="F6" i="6"/>
  <c r="F5" i="6"/>
  <c r="C12" i="6"/>
  <c r="C11" i="6"/>
  <c r="C10" i="6"/>
  <c r="C9" i="6"/>
  <c r="C8" i="6"/>
  <c r="C7" i="6"/>
  <c r="C6" i="6"/>
  <c r="AG18" i="4"/>
  <c r="AG22" i="4"/>
  <c r="AD22" i="4"/>
  <c r="AA22" i="4"/>
  <c r="U22" i="4"/>
  <c r="R22" i="4"/>
  <c r="O22" i="4"/>
  <c r="L22" i="4"/>
  <c r="I22" i="4"/>
  <c r="F22" i="4"/>
  <c r="AG21" i="4"/>
  <c r="AD21" i="4"/>
  <c r="AA21" i="4"/>
  <c r="U21" i="4"/>
  <c r="R21" i="4"/>
  <c r="O21" i="4"/>
  <c r="L21" i="4"/>
  <c r="I21" i="4"/>
  <c r="F21" i="4"/>
  <c r="AG20" i="4"/>
  <c r="AD20" i="4"/>
  <c r="AA20" i="4"/>
  <c r="X20" i="4"/>
  <c r="U20" i="4"/>
  <c r="R20" i="4"/>
  <c r="O20" i="4"/>
  <c r="L20" i="4"/>
  <c r="I20" i="4"/>
  <c r="F20" i="4"/>
  <c r="AG19" i="4"/>
  <c r="AD19" i="4"/>
  <c r="U19" i="4"/>
  <c r="R19" i="4"/>
  <c r="O19" i="4"/>
  <c r="L19" i="4"/>
  <c r="F19" i="4"/>
  <c r="AD18" i="4"/>
  <c r="U18" i="4"/>
  <c r="R18" i="4"/>
  <c r="O18" i="4"/>
  <c r="L18" i="4"/>
  <c r="F18" i="4"/>
  <c r="AG17" i="4"/>
  <c r="AD17" i="4"/>
  <c r="X17" i="4"/>
  <c r="U17" i="4"/>
  <c r="R17" i="4"/>
  <c r="O17" i="4"/>
  <c r="L17" i="4"/>
  <c r="I17" i="4"/>
  <c r="F17" i="4"/>
  <c r="AG16" i="4"/>
  <c r="AD16" i="4"/>
  <c r="AA16" i="4"/>
  <c r="X16" i="4"/>
  <c r="U16" i="4"/>
  <c r="R16" i="4"/>
  <c r="O16" i="4"/>
  <c r="L16" i="4"/>
  <c r="I16" i="4"/>
  <c r="F16" i="4"/>
  <c r="AG15" i="4"/>
  <c r="AD15" i="4"/>
  <c r="AA15" i="4"/>
  <c r="X15" i="4"/>
  <c r="U15" i="4"/>
  <c r="R15" i="4"/>
  <c r="O15" i="4"/>
  <c r="L15" i="4"/>
  <c r="I15" i="4"/>
  <c r="F15" i="4"/>
  <c r="AG14" i="4"/>
  <c r="AD14" i="4"/>
  <c r="AA14" i="4"/>
  <c r="X14" i="4"/>
  <c r="U14" i="4"/>
  <c r="R14" i="4"/>
  <c r="O14" i="4"/>
  <c r="L14" i="4"/>
  <c r="I14" i="4"/>
  <c r="F14" i="4"/>
  <c r="AG13" i="4"/>
  <c r="AD13" i="4"/>
  <c r="AA13" i="4"/>
  <c r="X13" i="4"/>
  <c r="U13" i="4"/>
  <c r="R13" i="4"/>
  <c r="O13" i="4"/>
  <c r="L13" i="4"/>
  <c r="I13" i="4"/>
  <c r="F13" i="4"/>
  <c r="AG12" i="4"/>
  <c r="AD12" i="4"/>
  <c r="AA12" i="4"/>
  <c r="X12" i="4"/>
  <c r="U12" i="4"/>
  <c r="R12" i="4"/>
  <c r="O12" i="4"/>
  <c r="L12" i="4"/>
  <c r="I12" i="4"/>
  <c r="F12" i="4"/>
  <c r="AG11" i="4"/>
  <c r="AD11" i="4"/>
  <c r="AA11" i="4"/>
  <c r="X11" i="4"/>
  <c r="U11" i="4"/>
  <c r="R11" i="4"/>
  <c r="O11" i="4"/>
  <c r="L11" i="4"/>
  <c r="I11" i="4"/>
  <c r="F11" i="4"/>
  <c r="AG10" i="4"/>
  <c r="AD10" i="4"/>
  <c r="AA10" i="4"/>
  <c r="X10" i="4"/>
  <c r="U10" i="4"/>
  <c r="R10" i="4"/>
  <c r="O10" i="4"/>
  <c r="L10" i="4"/>
  <c r="I10" i="4"/>
  <c r="F10" i="4"/>
  <c r="AG9" i="4"/>
  <c r="AD9" i="4"/>
  <c r="AA9" i="4"/>
  <c r="X9" i="4"/>
  <c r="U9" i="4"/>
  <c r="R9" i="4"/>
  <c r="O9" i="4"/>
  <c r="L9" i="4"/>
  <c r="I9" i="4"/>
  <c r="F9" i="4"/>
  <c r="AG8" i="4"/>
  <c r="AD8" i="4"/>
  <c r="AA8" i="4"/>
  <c r="X8" i="4"/>
  <c r="U8" i="4"/>
  <c r="R8" i="4"/>
  <c r="O8" i="4"/>
  <c r="L8" i="4"/>
  <c r="I8" i="4"/>
  <c r="F8" i="4"/>
  <c r="AG7" i="4"/>
  <c r="AD7" i="4"/>
  <c r="AA7" i="4"/>
  <c r="X7" i="4"/>
  <c r="U7" i="4"/>
  <c r="O7" i="4"/>
  <c r="L7" i="4"/>
  <c r="I7" i="4"/>
  <c r="F7" i="4"/>
  <c r="AG6" i="4"/>
  <c r="AD6" i="4"/>
  <c r="AA6" i="4"/>
  <c r="X6" i="4"/>
  <c r="O6" i="4"/>
  <c r="L6" i="4"/>
  <c r="I6" i="4"/>
  <c r="F6" i="4"/>
  <c r="AG5" i="4"/>
  <c r="AD5" i="4"/>
  <c r="AA5" i="4"/>
  <c r="X5" i="4"/>
  <c r="U5" i="4"/>
  <c r="R5" i="4"/>
  <c r="O5" i="4"/>
  <c r="L5" i="4"/>
  <c r="I5" i="4"/>
  <c r="F5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AM22" i="5"/>
  <c r="AM21" i="5"/>
  <c r="AM20" i="5"/>
  <c r="AM19" i="5"/>
  <c r="AM18" i="5"/>
  <c r="AM17" i="5"/>
  <c r="AM16" i="5"/>
  <c r="AM15" i="5"/>
  <c r="AM14" i="5"/>
  <c r="AM13" i="5"/>
  <c r="AM12" i="5"/>
  <c r="AM11" i="5"/>
  <c r="AM10" i="5"/>
  <c r="AM9" i="5"/>
  <c r="AM8" i="5"/>
  <c r="AM7" i="5"/>
  <c r="AM6" i="5"/>
  <c r="AM5" i="5"/>
  <c r="AJ19" i="5"/>
  <c r="AJ22" i="5"/>
  <c r="AJ21" i="5"/>
  <c r="AJ20" i="5"/>
  <c r="AJ18" i="5"/>
  <c r="AJ17" i="5"/>
  <c r="AJ16" i="5"/>
  <c r="AJ15" i="5"/>
  <c r="AJ14" i="5"/>
  <c r="AJ13" i="5"/>
  <c r="AJ12" i="5"/>
  <c r="AJ11" i="5"/>
  <c r="AJ10" i="5"/>
  <c r="AJ9" i="5"/>
  <c r="AJ8" i="5"/>
  <c r="AJ7" i="5"/>
  <c r="AJ6" i="5"/>
  <c r="AJ5" i="5"/>
  <c r="AG22" i="5"/>
  <c r="AG21" i="5"/>
  <c r="AG20" i="5"/>
  <c r="AG13" i="5"/>
  <c r="AG12" i="5"/>
  <c r="AG11" i="5"/>
  <c r="AG10" i="5"/>
  <c r="AG9" i="5"/>
  <c r="AG8" i="5"/>
  <c r="AG7" i="5"/>
  <c r="AG6" i="5"/>
  <c r="AG5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A13" i="5"/>
  <c r="AA22" i="5"/>
  <c r="AA21" i="5"/>
  <c r="AA20" i="5"/>
  <c r="AA19" i="5"/>
  <c r="AA18" i="5"/>
  <c r="AA17" i="5"/>
  <c r="AA16" i="5"/>
  <c r="AA15" i="5"/>
  <c r="AA14" i="5"/>
  <c r="AA12" i="5"/>
  <c r="AA11" i="5"/>
  <c r="AA10" i="5"/>
  <c r="AA9" i="5"/>
  <c r="AA8" i="5"/>
  <c r="AA7" i="5"/>
  <c r="AA6" i="5"/>
  <c r="AA5" i="5"/>
  <c r="X15" i="5"/>
  <c r="X22" i="5"/>
  <c r="X21" i="5"/>
  <c r="X20" i="5"/>
  <c r="X19" i="5"/>
  <c r="X18" i="5"/>
  <c r="X17" i="5"/>
  <c r="X16" i="5"/>
  <c r="X14" i="5"/>
  <c r="X13" i="5"/>
  <c r="X12" i="5"/>
  <c r="X11" i="5"/>
  <c r="X10" i="5"/>
  <c r="X9" i="5"/>
  <c r="X8" i="5"/>
  <c r="X7" i="5"/>
  <c r="X6" i="5"/>
  <c r="X5" i="5"/>
  <c r="U20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5" i="5"/>
  <c r="O13" i="5"/>
  <c r="O22" i="5"/>
  <c r="O21" i="5"/>
  <c r="O20" i="5"/>
  <c r="O19" i="5"/>
  <c r="O18" i="5"/>
  <c r="O17" i="5"/>
  <c r="O16" i="5"/>
  <c r="O15" i="5"/>
  <c r="O14" i="5"/>
  <c r="O12" i="5"/>
  <c r="O11" i="5"/>
  <c r="O10" i="5"/>
  <c r="O9" i="5"/>
  <c r="O8" i="5"/>
  <c r="O7" i="5"/>
  <c r="O6" i="5"/>
  <c r="O5" i="5"/>
  <c r="L7" i="5"/>
  <c r="L8" i="5"/>
  <c r="L11" i="5"/>
  <c r="L12" i="5"/>
  <c r="L17" i="5"/>
  <c r="L21" i="5"/>
  <c r="L22" i="5"/>
  <c r="L20" i="5"/>
  <c r="L10" i="5"/>
  <c r="L6" i="5"/>
  <c r="L5" i="5"/>
  <c r="I22" i="5"/>
  <c r="I21" i="5"/>
  <c r="I20" i="5"/>
  <c r="I17" i="5"/>
  <c r="I16" i="5"/>
  <c r="I15" i="5"/>
  <c r="I14" i="5"/>
  <c r="I13" i="5"/>
  <c r="I12" i="5"/>
  <c r="I11" i="5"/>
  <c r="I10" i="5"/>
  <c r="I9" i="5"/>
  <c r="I8" i="5"/>
  <c r="I7" i="5"/>
  <c r="I6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</calcChain>
</file>

<file path=xl/sharedStrings.xml><?xml version="1.0" encoding="utf-8"?>
<sst xmlns="http://schemas.openxmlformats.org/spreadsheetml/2006/main" count="680" uniqueCount="518">
  <si>
    <t>Table S1. Phthalate and DINCH parent compounds and their metabolites measured, form for inclusion as exposures in this study.</t>
  </si>
  <si>
    <t xml:space="preserve">Phthalate diester </t>
  </si>
  <si>
    <t>Abbreviation</t>
  </si>
  <si>
    <t>CAS-No.</t>
  </si>
  <si>
    <t>Urine metabolite of phthalate diesters</t>
  </si>
  <si>
    <t xml:space="preserve">Metabolites included in analyses </t>
  </si>
  <si>
    <t>Phthalates</t>
  </si>
  <si>
    <t>Di-ethyl phthalate</t>
  </si>
  <si>
    <t>DEP</t>
  </si>
  <si>
    <t>84-66-2</t>
  </si>
  <si>
    <t>Mono-ethyl phthalate</t>
  </si>
  <si>
    <t>MEP*</t>
  </si>
  <si>
    <t>MEP</t>
  </si>
  <si>
    <t>Di-iso-butyl phthalate</t>
  </si>
  <si>
    <t>DiBP</t>
  </si>
  <si>
    <t>84-69-5</t>
  </si>
  <si>
    <t>Mono-iso-butyl phthalate</t>
  </si>
  <si>
    <t>MiBP*</t>
  </si>
  <si>
    <t>MiBP</t>
  </si>
  <si>
    <t>Di-n-butyl phthalate</t>
  </si>
  <si>
    <t>DnBP</t>
  </si>
  <si>
    <t>84-74-2</t>
  </si>
  <si>
    <t>Mono-n-butyl phthalate</t>
  </si>
  <si>
    <t>MnBP*</t>
  </si>
  <si>
    <t>MnBP</t>
  </si>
  <si>
    <t>Butylbenzyl phthalate</t>
  </si>
  <si>
    <t>BBzP</t>
  </si>
  <si>
    <t>85-68-7</t>
  </si>
  <si>
    <t>Mono-benzyl phthalate</t>
  </si>
  <si>
    <t>MBzP*</t>
  </si>
  <si>
    <t>MBzP</t>
  </si>
  <si>
    <t>Di-(2-ethyl-hexyl) phthalate</t>
  </si>
  <si>
    <t>DEHP</t>
  </si>
  <si>
    <t>117-81-7</t>
  </si>
  <si>
    <t>Mono-(2-ethyl-hexyl) phthalate</t>
  </si>
  <si>
    <t>MEHP</t>
  </si>
  <si>
    <t>Mono-(2-ethyl-5-hydroxyhexyl) phthalate</t>
  </si>
  <si>
    <t>5OH-MEHP</t>
  </si>
  <si>
    <t>Mono- (2-ethyl-5-oxohexyl) phthalate</t>
  </si>
  <si>
    <t>5oxo-MEHP</t>
  </si>
  <si>
    <t>Mono-(2-ethyl-5-carboxypentyl) phthalate</t>
  </si>
  <si>
    <t>5cx-MEPP</t>
  </si>
  <si>
    <t>Mono-(2-carboxymethyl-hexyl) phthalate</t>
  </si>
  <si>
    <t>2cx-MMHP</t>
  </si>
  <si>
    <t>Molar sum of (MEHP + 5OH-MEHP + 5oxo-MEHP + 5cx-MEPP)</t>
  </si>
  <si>
    <t>∑DEHP** metabolites</t>
  </si>
  <si>
    <t>ΣDEHP**</t>
  </si>
  <si>
    <t>Di-iso-nonyl phthalate</t>
  </si>
  <si>
    <t>DiNP</t>
  </si>
  <si>
    <t>28553-12-0</t>
  </si>
  <si>
    <t>Mono-iso-nonyl phthalate</t>
  </si>
  <si>
    <t>MiNP</t>
  </si>
  <si>
    <t>Mono-hydroxy-iso-nonyl phthalate</t>
  </si>
  <si>
    <t>OH-MiNP</t>
  </si>
  <si>
    <t>Mono-oxo-iso-nonyl phthalate</t>
  </si>
  <si>
    <t>oxo-MiNP</t>
  </si>
  <si>
    <t>Mono-carboxy-iso-octyl phthalate</t>
  </si>
  <si>
    <t>cx-MiOP</t>
  </si>
  <si>
    <t>Molar sum of (OH-MiNP + cx-MiNP)</t>
  </si>
  <si>
    <t>∑DiNP** metabolites</t>
  </si>
  <si>
    <t xml:space="preserve">ΣDiNP** </t>
  </si>
  <si>
    <t>Di-iso-decylphthalate</t>
  </si>
  <si>
    <t>DiDP</t>
  </si>
  <si>
    <t>26761-40-0</t>
  </si>
  <si>
    <t>Mono-iso-decyl phthalate</t>
  </si>
  <si>
    <t>MiDP</t>
  </si>
  <si>
    <t>Mono-(9-hydroxydecyl) phthalate</t>
  </si>
  <si>
    <t>OH-MiDP</t>
  </si>
  <si>
    <t>Mono-(9-oxodecyl) phthalate</t>
  </si>
  <si>
    <t>oxo-MiDP</t>
  </si>
  <si>
    <t>Mono-(9-carboxynonyl) phthalate</t>
  </si>
  <si>
    <t>cx-MiNP</t>
  </si>
  <si>
    <t>Molar sum of (OH-MiDP + cx-MiDP)</t>
  </si>
  <si>
    <t>∑DiDP** metabolites</t>
  </si>
  <si>
    <t>∑DiDP**</t>
  </si>
  <si>
    <t>Phthalate substitutes</t>
  </si>
  <si>
    <t>Di-iso-nonyl-cyclohexane-1,2-dicarboxylate</t>
  </si>
  <si>
    <t>DINCH</t>
  </si>
  <si>
    <t xml:space="preserve">   166412-78-8</t>
  </si>
  <si>
    <t>Cyclohexane-1,2-dicarboxylate-mono-(hydroxyl-iso-nonyl) ester</t>
  </si>
  <si>
    <t>OH-MINCH</t>
  </si>
  <si>
    <t>Cyclohexane-1,2-dicarboxylate-mono-(carboxy-iso-octyl) ester</t>
  </si>
  <si>
    <t>cx-MINCH</t>
  </si>
  <si>
    <t>Molar sum of (OH-MINCH + cx-MINCH)</t>
  </si>
  <si>
    <t>∑DINCH** metabolites</t>
  </si>
  <si>
    <t>∑DINCH**</t>
  </si>
  <si>
    <t xml:space="preserve">     Note: *Urine metabolite phthalate diesters included in the single pollutant analysis, **Molar sum of phthalate metabolites </t>
  </si>
  <si>
    <t xml:space="preserve">Table S1. Phthalate/DINCH metabolite concentrations (µg/L) in urine collected among children from 12 HBM4EU Aligned Studies (N=2876, 6-11 years, 2014–2021).    </t>
  </si>
  <si>
    <t xml:space="preserve">Exposure </t>
  </si>
  <si>
    <t>Total (N=2876)</t>
  </si>
  <si>
    <t>C_ANSP_ESTEBAN</t>
  </si>
  <si>
    <t>C_AUTH_CROME</t>
  </si>
  <si>
    <t>C_EPIUD_NAC II</t>
  </si>
  <si>
    <t>C_JSI_SLO CRP</t>
  </si>
  <si>
    <t>C_NIOM_POLAES</t>
  </si>
  <si>
    <t>C_NIPH_NEB II</t>
  </si>
  <si>
    <t>C_NPHI_InAirQ</t>
  </si>
  <si>
    <t>C_RIVM_SPECIMEn-NL</t>
  </si>
  <si>
    <t>C_SDU_OCC</t>
  </si>
  <si>
    <t>C_SZU_PCB cohort</t>
  </si>
  <si>
    <t>C_UBA_GerES V</t>
  </si>
  <si>
    <t>C_VITO_3xG</t>
  </si>
  <si>
    <t>N</t>
  </si>
  <si>
    <t>&gt;LOD(%)</t>
  </si>
  <si>
    <t>Median(iqr)</t>
  </si>
  <si>
    <t>23.8 (10.8-55.8)</t>
  </si>
  <si>
    <t>49.8 (25.3-98.1)</t>
  </si>
  <si>
    <t>52.0 (27.2-117.9)</t>
  </si>
  <si>
    <t>55.5 (27.8-115.5)</t>
  </si>
  <si>
    <t>25.7 (14.9-58.3)</t>
  </si>
  <si>
    <t>41.8 (25.6-80.6)</t>
  </si>
  <si>
    <t>15.4 (9.8-29.6)</t>
  </si>
  <si>
    <t>8.9 (4.8-18.3)</t>
  </si>
  <si>
    <t>11.1 (6.1-22.9)</t>
  </si>
  <si>
    <t>6.6 (4.1-11.4)</t>
  </si>
  <si>
    <t>30.1 (14.8-67.3)</t>
  </si>
  <si>
    <t>18.4 (10.6-35.4)</t>
  </si>
  <si>
    <t>17.8 (10.9-30.7)</t>
  </si>
  <si>
    <t>28.8 (15.7-53.1)</t>
  </si>
  <si>
    <t>40.8 (23.5-67.3)</t>
  </si>
  <si>
    <t>33.3 (19.8-48.3)</t>
  </si>
  <si>
    <t>31.9 (18.6-49.8)</t>
  </si>
  <si>
    <t>26.7 (15.7-47.1)</t>
  </si>
  <si>
    <t/>
  </si>
  <si>
    <t>26.9 (18.1-49.3)</t>
  </si>
  <si>
    <t>29.6 (14.9-61.3)</t>
  </si>
  <si>
    <t>18.0 (11.2-28.7)</t>
  </si>
  <si>
    <t>12.4 (7.2-19.3)</t>
  </si>
  <si>
    <t>58.8 (32.1-109.9)</t>
  </si>
  <si>
    <t>27.9 (16.1-43.3)</t>
  </si>
  <si>
    <t>23.1 (13.0-44.6)</t>
  </si>
  <si>
    <t>23.7 (13.5-43.7)</t>
  </si>
  <si>
    <t>23.6 (14.9-37.1)</t>
  </si>
  <si>
    <t>25.3 (14.1-39.5)</t>
  </si>
  <si>
    <t>18.9 (10.9-32.1)</t>
  </si>
  <si>
    <t>18.9 (12.4-30.2)</t>
  </si>
  <si>
    <t>33.8 (19.1-55.1)</t>
  </si>
  <si>
    <t>25.3 (14.8-42.8)</t>
  </si>
  <si>
    <t>17.7 (9.9-32.8)</t>
  </si>
  <si>
    <t>14.8 (10.1-23.2)</t>
  </si>
  <si>
    <t>12.7 (7.2-20.0)</t>
  </si>
  <si>
    <t>74.8 (45.0-128.1)</t>
  </si>
  <si>
    <t>23.6 (14.4-35.5)</t>
  </si>
  <si>
    <t>28.2 (17.7-52.0)</t>
  </si>
  <si>
    <t>3.4 (1.4-7.6)</t>
  </si>
  <si>
    <t>10.2 (6.0-20.8)</t>
  </si>
  <si>
    <t>3.0 (1.5-4.7)</t>
  </si>
  <si>
    <t>5.9 (2.8-10.8)</t>
  </si>
  <si>
    <t>3.5 (2.0-5.7)</t>
  </si>
  <si>
    <t>1.9 (1.0-3.9)</t>
  </si>
  <si>
    <t>5.3 (3.0-10.4)</t>
  </si>
  <si>
    <t>1.5 (0.7-3.1)</t>
  </si>
  <si>
    <t>1.6 (0.9-3.3)</t>
  </si>
  <si>
    <t>1.2 (0.6-2.6)</t>
  </si>
  <si>
    <t>4.7 (0.9-10.1)</t>
  </si>
  <si>
    <t>3.2 (1.9-5.5)</t>
  </si>
  <si>
    <t>3.5 (1.9-7.7)</t>
  </si>
  <si>
    <t>1.5 (0.7-3.0)</t>
  </si>
  <si>
    <t>1.7 (0.9-3.0)</t>
  </si>
  <si>
    <t>3.0 (1.8-5.0)</t>
  </si>
  <si>
    <t>1.5 (0.8-3.4)</t>
  </si>
  <si>
    <t>1.5 (0.9-2.7)</t>
  </si>
  <si>
    <t>1.4 (0.8-2.7)</t>
  </si>
  <si>
    <t>1.5 (0.8-2.6)</t>
  </si>
  <si>
    <t>1.0 (0.6-1.6)</t>
  </si>
  <si>
    <t>0.6 (0.3-1.0)</t>
  </si>
  <si>
    <t>4.3 (1.9-7.4)</t>
  </si>
  <si>
    <t>1.3 (0.7-2.3)</t>
  </si>
  <si>
    <t>1.3 (0.6-2.1)</t>
  </si>
  <si>
    <t>MEHHP</t>
  </si>
  <si>
    <t>12.3 (6.8-21.7)</t>
  </si>
  <si>
    <t>15.2 (9.1-24.4)</t>
  </si>
  <si>
    <t>13.3 (8.2-21.8)</t>
  </si>
  <si>
    <t>17.4 (10.6-27.1)</t>
  </si>
  <si>
    <t>14.9 (8.2-24.2)</t>
  </si>
  <si>
    <t>12.3 (7.4-20.4)</t>
  </si>
  <si>
    <t>10.5 (6.3-17.3)</t>
  </si>
  <si>
    <t>10.2 (5.3-18.0)</t>
  </si>
  <si>
    <t>7.7 (5.1-11.4)</t>
  </si>
  <si>
    <t>5.0 (2.9-7.6)</t>
  </si>
  <si>
    <t>25.3 (17.0-38.6)</t>
  </si>
  <si>
    <t>11.5 (7.8-16.8)</t>
  </si>
  <si>
    <t>12.1 (6.7-22.4)</t>
  </si>
  <si>
    <t>MEOHP</t>
  </si>
  <si>
    <t>8.3 (4.6-15.5)</t>
  </si>
  <si>
    <t>12.0 (7.1-20.3)</t>
  </si>
  <si>
    <t>9.6 (5.7-16.6)</t>
  </si>
  <si>
    <t>8.9 (5.4-14.6)</t>
  </si>
  <si>
    <t>10.8 (6.5-19.1)</t>
  </si>
  <si>
    <t>9.7 (5.8-15.4)</t>
  </si>
  <si>
    <t>6.3 (3.6-10.3)</t>
  </si>
  <si>
    <t>4.9 (2.6-8.9)</t>
  </si>
  <si>
    <t>5.8 (3.6-9.2)</t>
  </si>
  <si>
    <t>3.4 (2.0-5.5)</t>
  </si>
  <si>
    <t>21.3 (15.2-32.8)</t>
  </si>
  <si>
    <t>8.0 (5.1-12.5)</t>
  </si>
  <si>
    <t>8.0 (4.3-15.2)</t>
  </si>
  <si>
    <t>MECHP</t>
  </si>
  <si>
    <t>15.7 (8.7-28.1)</t>
  </si>
  <si>
    <t>18.7 (11.3-30.4)</t>
  </si>
  <si>
    <t>13.8 (8.6-24.8)</t>
  </si>
  <si>
    <t>21.7 (12.5-38.3)</t>
  </si>
  <si>
    <t>18.4 (10.0-28.7)</t>
  </si>
  <si>
    <t>15.1 (9.8-23.8)</t>
  </si>
  <si>
    <t>17.6 (12.6-28.3)</t>
  </si>
  <si>
    <t>10.8 (6.3-19.8)</t>
  </si>
  <si>
    <t>8.2 (5.7-14.9)</t>
  </si>
  <si>
    <t>6.6 (4.3-10.8)</t>
  </si>
  <si>
    <t>35.0 (22.4-53.8)</t>
  </si>
  <si>
    <t>12.4 (7.7-21.1)</t>
  </si>
  <si>
    <t>15.8 (9.7-27.6)</t>
  </si>
  <si>
    <t>ΣDEHP</t>
  </si>
  <si>
    <t>37.6 (21.1-67.0)</t>
  </si>
  <si>
    <t>48.2 (28.6-81.2)</t>
  </si>
  <si>
    <t>41.8 (26.7-71.2)</t>
  </si>
  <si>
    <t>46.5 (25.9-74.6)</t>
  </si>
  <si>
    <t>39.4 (24.7-63.1)</t>
  </si>
  <si>
    <t>35.8 (23.0-58.1)</t>
  </si>
  <si>
    <t>28.6 (15.4-49.7)</t>
  </si>
  <si>
    <t>23.0 (16.4-34.8)</t>
  </si>
  <si>
    <t>15.7 (9.9-24.5)</t>
  </si>
  <si>
    <t>87.8 (56.3-134.6)</t>
  </si>
  <si>
    <t>32.8 (22.3-51.7)</t>
  </si>
  <si>
    <t>37.0 (22.8-69.0)</t>
  </si>
  <si>
    <t>3.9 (2.0-7.8)</t>
  </si>
  <si>
    <t>6.7 (4.3-12.3)</t>
  </si>
  <si>
    <t>3.5 (1.9-6.0)</t>
  </si>
  <si>
    <t>4.6 (2.5-8.2)</t>
  </si>
  <si>
    <t>2.9 (1.8-4.3)</t>
  </si>
  <si>
    <t>7.2 (4.2-12.5)</t>
  </si>
  <si>
    <t>2.0 (0.8-3.6)</t>
  </si>
  <si>
    <t>3.7 (2.3-6.2)</t>
  </si>
  <si>
    <t>2.0 (1.1-3.2)</t>
  </si>
  <si>
    <t>7.8 (4.7-11.6)</t>
  </si>
  <si>
    <t>1.9 (0.9-3.4)</t>
  </si>
  <si>
    <t>5.5 (2.8-10.0)</t>
  </si>
  <si>
    <t>10.3 (6.0-18.6)</t>
  </si>
  <si>
    <t>6.5 (4.3-12.6)</t>
  </si>
  <si>
    <t>6.9 (4.0-12.2)</t>
  </si>
  <si>
    <t>4.2 (2.8-6.3)</t>
  </si>
  <si>
    <t>10.4 (7.2-15.6)</t>
  </si>
  <si>
    <t>2.4 (1.4-4.5)</t>
  </si>
  <si>
    <t>4.5 (2.9-8.3)</t>
  </si>
  <si>
    <t>3.9 (2.3-7.1)</t>
  </si>
  <si>
    <t>5.7 (3.6-9.3)</t>
  </si>
  <si>
    <t>0.3 (-3.0-0.6)</t>
  </si>
  <si>
    <t>ΣDiNP</t>
  </si>
  <si>
    <t>9.6 (5.0-17.9)</t>
  </si>
  <si>
    <t>17.4 (10.5-32.9)</t>
  </si>
  <si>
    <t>11.2 (6.6-17.7)</t>
  </si>
  <si>
    <t>12.0 (6.6-20.4)</t>
  </si>
  <si>
    <t>7.3 (4.6-10.4)</t>
  </si>
  <si>
    <t>17.8 (11.4-28.8)</t>
  </si>
  <si>
    <t>4.4 (2.3-8.2)</t>
  </si>
  <si>
    <t>8.2 (5.1-14.7)</t>
  </si>
  <si>
    <t>6.1 (3.5-10.5)</t>
  </si>
  <si>
    <t>13.8 (8.4-22.2)</t>
  </si>
  <si>
    <t>2.5 (1.1-4.3)</t>
  </si>
  <si>
    <t>1.2 (0.6-2.4)</t>
  </si>
  <si>
    <t>1.9 (1.2-3.2)</t>
  </si>
  <si>
    <t>2.8 (1.2-6.6)</t>
  </si>
  <si>
    <t>0.9 (0.6-1.7)</t>
  </si>
  <si>
    <t>1.9 (0.9-3.2)</t>
  </si>
  <si>
    <t>0.9 (0.5-1.5)</t>
  </si>
  <si>
    <t>2.0 (1.3-3.2)</t>
  </si>
  <si>
    <t>0.8 (0.5-1.5)</t>
  </si>
  <si>
    <t>0.8 (0.5-1.4)</t>
  </si>
  <si>
    <t>0.5 (0.3-0.8)</t>
  </si>
  <si>
    <t>0.9 (0.5-2.1)</t>
  </si>
  <si>
    <t>cx-MiDP</t>
  </si>
  <si>
    <t>0.7 (0.4-1.2)</t>
  </si>
  <si>
    <t>1.1 (0.7-1.8)</t>
  </si>
  <si>
    <t>0.8 (0.5-1.2)</t>
  </si>
  <si>
    <t>-1.0 (-2.0-0.7)</t>
  </si>
  <si>
    <t>0.6 (0.4-0.9)</t>
  </si>
  <si>
    <t>0.9 (0.6-1.4)</t>
  </si>
  <si>
    <t>1.0 (0.7-1.8)</t>
  </si>
  <si>
    <t>ΣDiDP</t>
  </si>
  <si>
    <t>1.8 (1.0-3.2)</t>
  </si>
  <si>
    <t>3.0 (2.0-5.0)</t>
  </si>
  <si>
    <t>2.7 (1.4-4.4)</t>
  </si>
  <si>
    <t>1.5 (0.9-2.3)</t>
  </si>
  <si>
    <t>1.1 (0.7-2.2)</t>
  </si>
  <si>
    <t>1.4 (0.9-2.3)</t>
  </si>
  <si>
    <t>1.1 (0.6-1.7)</t>
  </si>
  <si>
    <t>2.5 (1.6-4.1)</t>
  </si>
  <si>
    <t>2.0 (1.4-4.1)</t>
  </si>
  <si>
    <t xml:space="preserve">OH-MINCH </t>
  </si>
  <si>
    <t>2.2 (1.2-4.4)</t>
  </si>
  <si>
    <t>2.3 (1.3-4.2)</t>
  </si>
  <si>
    <t>2.3 (1.3-3.6)</t>
  </si>
  <si>
    <t>3.3 (1.9-6.1)</t>
  </si>
  <si>
    <t>2.7 (1.5-5.0)</t>
  </si>
  <si>
    <t>1.3 (0.7-2.4)</t>
  </si>
  <si>
    <t>3.0 (1.9-5.8)</t>
  </si>
  <si>
    <t>1.1 (0.6-2.0)</t>
  </si>
  <si>
    <t>1.7 (0.9-2.6)</t>
  </si>
  <si>
    <t>3.0 (1.5-6.5)</t>
  </si>
  <si>
    <t>2.0 (1.2-4.0)</t>
  </si>
  <si>
    <t>2.3 (1.3-5.0)</t>
  </si>
  <si>
    <t>2.0 (1.0-3.3)</t>
  </si>
  <si>
    <t>1.2 (0.6-2.3)</t>
  </si>
  <si>
    <t>1.5 (1.0-2.7)</t>
  </si>
  <si>
    <t>1.5 (1.1-2.0)</t>
  </si>
  <si>
    <t>2.0 (1.1-3.8)</t>
  </si>
  <si>
    <t>0.7 (0.4-1.5)</t>
  </si>
  <si>
    <t>1.2 (0.7-1.7)</t>
  </si>
  <si>
    <t>1.7 (1.1-4.1)</t>
  </si>
  <si>
    <t>1.1 (0.5-2.0)</t>
  </si>
  <si>
    <t>ΣDINCH</t>
  </si>
  <si>
    <t>3.4 (1.9-6.7)</t>
  </si>
  <si>
    <t>3.8 (2.4-6.8)</t>
  </si>
  <si>
    <t>3.8 (2.3-5.6)</t>
  </si>
  <si>
    <t>5.3 (3.0-9.9)</t>
  </si>
  <si>
    <t>4.5 (2.4-7.8)</t>
  </si>
  <si>
    <t>2.0 (1.2-3.6)</t>
  </si>
  <si>
    <t>1.9 (1.0-3.5)</t>
  </si>
  <si>
    <t>3.0 (1.7-4.0)</t>
  </si>
  <si>
    <t>4.9 (2.7-10.5)</t>
  </si>
  <si>
    <t>3.1 (1.8-5.9)</t>
  </si>
  <si>
    <t>3.6 (2.0-7.3)</t>
  </si>
  <si>
    <t>2.4 (1.3-4.0)</t>
  </si>
  <si>
    <t>Table S2. Phthalate/DINCH metabolite concentrations (µg/L) in urine collected among adolescents from 10 HBM4EU Aligned Studies (N=2499, 12-18 years, 2014–2021).</t>
  </si>
  <si>
    <t>Total (N=2499)</t>
  </si>
  <si>
    <t>T_ANSP_ESTEBAN</t>
  </si>
  <si>
    <t>T_AUTH_CROME</t>
  </si>
  <si>
    <t>T_ISCIII_BEA</t>
  </si>
  <si>
    <t>T_JSI_SLO</t>
  </si>
  <si>
    <t>T_NFA_Riksmaten</t>
  </si>
  <si>
    <t>T_NIOM_POLAES</t>
  </si>
  <si>
    <t>T_NIPH_NEB</t>
  </si>
  <si>
    <t>T_SZU_PCB</t>
  </si>
  <si>
    <t>T_UBA_GerES V-sub</t>
  </si>
  <si>
    <t>T_VITO_FLEHS</t>
  </si>
  <si>
    <t>N=2,499</t>
  </si>
  <si>
    <t>37.5 (18.3-88.4)</t>
  </si>
  <si>
    <t>53.8 (28.9-127.5)</t>
  </si>
  <si>
    <t>64.6 (29.4-127.3)</t>
  </si>
  <si>
    <t>79.1 (37.5-172.6)</t>
  </si>
  <si>
    <t>33.6 (19.7-76.6)</t>
  </si>
  <si>
    <t>31.9 (19.1-69.4)</t>
  </si>
  <si>
    <t>36.0 (20.2-61.8)</t>
  </si>
  <si>
    <t>17.6 (10.1-31.5)</t>
  </si>
  <si>
    <t>51.7 (24.8-117.0)</t>
  </si>
  <si>
    <t>23.4 (12.7-63.0)</t>
  </si>
  <si>
    <t>22.4 (12.4-49.0)</t>
  </si>
  <si>
    <t>25.3 (15.3-46.0)</t>
  </si>
  <si>
    <t>37.8 (23.4-56.2)</t>
  </si>
  <si>
    <t>22.6 (13.7-37.0)</t>
  </si>
  <si>
    <t>20.0 (11.4-34.3)</t>
  </si>
  <si>
    <t>25.3 (16.1-38.2)</t>
  </si>
  <si>
    <t>29.2 (16.9-51.5)</t>
  </si>
  <si>
    <t>29.7 (16.8-62.3)</t>
  </si>
  <si>
    <t>22.6 (14.1-39.3)</t>
  </si>
  <si>
    <t>20.9 (11.6-38.3)</t>
  </si>
  <si>
    <t>23.5 (13.2-44.1)</t>
  </si>
  <si>
    <t>23.4 (13.9-37.8)</t>
  </si>
  <si>
    <t>17.7 (10.2-32.0)</t>
  </si>
  <si>
    <t>14.8 (8.6-27.2)</t>
  </si>
  <si>
    <t>19.2 (15.1-30.6)</t>
  </si>
  <si>
    <t>28.4 (16.9-46.8)</t>
  </si>
  <si>
    <t>26.7 (18.3-46.4)</t>
  </si>
  <si>
    <t>91.8 (46.4-201.0)</t>
  </si>
  <si>
    <t>18.4 (12.1-32.9)</t>
  </si>
  <si>
    <t>16.1 (9.8-26.8)</t>
  </si>
  <si>
    <t>2.9 (1.3-6.8)</t>
  </si>
  <si>
    <t>8.6 (4.6-17.6)</t>
  </si>
  <si>
    <t>2.6 (1.4-4.4)</t>
  </si>
  <si>
    <t>1.7 (0.8-3.3)</t>
  </si>
  <si>
    <t>3.5 (1.8-8.4)</t>
  </si>
  <si>
    <t>5.9 (2.9-12.9)</t>
  </si>
  <si>
    <t>1.5 (0.7-2.9)</t>
  </si>
  <si>
    <t>5.3 (3.1-10.5)</t>
  </si>
  <si>
    <t>1.3 (0.6-3.0)</t>
  </si>
  <si>
    <t>2.6 (1.4-5.0)</t>
  </si>
  <si>
    <t>2.0 (1.1-5.2)</t>
  </si>
  <si>
    <t>1.7 (1.0-3.3)</t>
  </si>
  <si>
    <t>1.8 (1.1-3.4)</t>
  </si>
  <si>
    <t>2.7 (1.5-5.1)</t>
  </si>
  <si>
    <t>2.0 (1.2-3.2)</t>
  </si>
  <si>
    <t>1.6 (0.9-2.9)</t>
  </si>
  <si>
    <t>1.6 (1.0-2.4)</t>
  </si>
  <si>
    <t>1.7 (0.9-2.9)</t>
  </si>
  <si>
    <t>1.4 (0.7-2.6)</t>
  </si>
  <si>
    <t>3.5 (1.8-7.2)</t>
  </si>
  <si>
    <t>1.5 (0.8-2.7)</t>
  </si>
  <si>
    <t>1.1 (0.6-1.8)</t>
  </si>
  <si>
    <t>9.6 (5.5-17.7)</t>
  </si>
  <si>
    <t>12.8 (7.8-20.6)</t>
  </si>
  <si>
    <t>10.2 (6.2-17.4)</t>
  </si>
  <si>
    <t>8.5 (5.4-14.4)</t>
  </si>
  <si>
    <t>10.5 (5.7-18.7)</t>
  </si>
  <si>
    <t>6.9 (4.3-11.1)</t>
  </si>
  <si>
    <t>9.6 (6.1-16.3)</t>
  </si>
  <si>
    <t>9.1 (6.0-14.3)</t>
  </si>
  <si>
    <t>33.7 (18.5-64.8)</t>
  </si>
  <si>
    <t>8.3 (5.3-13.2)</t>
  </si>
  <si>
    <t>5.6 (3.3-9.4)</t>
  </si>
  <si>
    <t>6.2 (3.7-10.8)</t>
  </si>
  <si>
    <t>9.6 (6.1-15.9)</t>
  </si>
  <si>
    <t>7.1 (4.1-11.8)</t>
  </si>
  <si>
    <t>6.2 (3.7-9.8)</t>
  </si>
  <si>
    <t>7.9 (4.3-13.1)</t>
  </si>
  <si>
    <t>5.1 (3.4-9.4)</t>
  </si>
  <si>
    <t>7.1 (4.6-11.4)</t>
  </si>
  <si>
    <t>5.5 (3.4-8.5)</t>
  </si>
  <si>
    <t>7.8 (4.1-13.9)</t>
  </si>
  <si>
    <t>5.6 (3.3-9.6)</t>
  </si>
  <si>
    <t>3.6 (2.1-5.8)</t>
  </si>
  <si>
    <t>11.4 (6.6-18.5)</t>
  </si>
  <si>
    <t>16.6 (10.7-28.6)</t>
  </si>
  <si>
    <t>11.7 (6.8-19.0)</t>
  </si>
  <si>
    <t>11.1 (6.4-18.0)</t>
  </si>
  <si>
    <t>12.2 (7.9-21.7)</t>
  </si>
  <si>
    <t>6.1 (3.8-10.7)</t>
  </si>
  <si>
    <t>11.1 (7.4-18.4)</t>
  </si>
  <si>
    <t>16.2 (10.6-23.0)</t>
  </si>
  <si>
    <t>9.3 (5.1-15.3)</t>
  </si>
  <si>
    <t>8.6 (5.4-15.0)</t>
  </si>
  <si>
    <t>14.3 (10.2-19.2)</t>
  </si>
  <si>
    <t>30.5 (18.3-50.7)</t>
  </si>
  <si>
    <t>42.3 (26.3-67.1)</t>
  </si>
  <si>
    <t>32.4 (20.2-51.1)</t>
  </si>
  <si>
    <t>28.1 (17.8-44.6)</t>
  </si>
  <si>
    <t>32.7 (18.8-55.7)</t>
  </si>
  <si>
    <t>20.0 (13.0-33.8)</t>
  </si>
  <si>
    <t>29.6 (19.8-50.1)</t>
  </si>
  <si>
    <t>33.1 (20.9-48.4)</t>
  </si>
  <si>
    <t>54.7 (32.6-102.6)</t>
  </si>
  <si>
    <t>24.7 (15.3-42.0)</t>
  </si>
  <si>
    <t>24.9 (16.8-36.8)</t>
  </si>
  <si>
    <t>5.0 (2.7-9.8)</t>
  </si>
  <si>
    <t>7.2 (4.3-12.4)</t>
  </si>
  <si>
    <t>3.3 (1.9-6.9)</t>
  </si>
  <si>
    <t>4.4 (2.4-7.6)</t>
  </si>
  <si>
    <t>4.0 (2.1-6.8)</t>
  </si>
  <si>
    <t>3.7 (2.0-7.6)</t>
  </si>
  <si>
    <t>2.8 (1.7-4.7)</t>
  </si>
  <si>
    <t>5.9 (3.9-11.8)</t>
  </si>
  <si>
    <t>16.2 (9.3-29.1)</t>
  </si>
  <si>
    <t>5.3 (3.5-9.3)</t>
  </si>
  <si>
    <t>3.6 (2.3-6.1)</t>
  </si>
  <si>
    <t>5.5 (2.9-10.4)</t>
  </si>
  <si>
    <t>10.9 (6.7-18.6)</t>
  </si>
  <si>
    <t>5.9 (4.0-9.6)</t>
  </si>
  <si>
    <t>6.7 (3.7-11.7)</t>
  </si>
  <si>
    <t>5.7 (3.1-9.3)</t>
  </si>
  <si>
    <t>5.7 (3.2-12.6)</t>
  </si>
  <si>
    <t>3.5 (2.3-5.4)</t>
  </si>
  <si>
    <t>9.2 (6.9-15.0)</t>
  </si>
  <si>
    <t>6.7 (4.0-11.6)</t>
  </si>
  <si>
    <t>4.5 (2.6-7.6)</t>
  </si>
  <si>
    <t>1.7 (1.1-2.6)</t>
  </si>
  <si>
    <t>11.0 (6.0-20.5)</t>
  </si>
  <si>
    <t>18.6 (11.1-31.5)</t>
  </si>
  <si>
    <t>10.3 (6.0-15.5)</t>
  </si>
  <si>
    <t>10.9 (6.2-19.3)</t>
  </si>
  <si>
    <t>9.4 (5.3-15.4)</t>
  </si>
  <si>
    <t>9.9 (5.5-19.3)</t>
  </si>
  <si>
    <t>6.6 (4.0-10.2)</t>
  </si>
  <si>
    <t>15.7 (10.7-26.4)</t>
  </si>
  <si>
    <t>23.9 (14.6-42.4)</t>
  </si>
  <si>
    <t>10.3 (6.4-16.6)</t>
  </si>
  <si>
    <t>5.3 (3.5-8.7)</t>
  </si>
  <si>
    <t>1.1 (0.5-2.1)</t>
  </si>
  <si>
    <t>1.9 (1.2-3.4)</t>
  </si>
  <si>
    <t>2.0 (0.9-5.9)</t>
  </si>
  <si>
    <t>1.6 (1.0-2.3)</t>
  </si>
  <si>
    <t>0.9 (0.6-1.8)</t>
  </si>
  <si>
    <t>1.9 (1.3-2.9)</t>
  </si>
  <si>
    <t>-1.0 (-2.0--1.0)</t>
  </si>
  <si>
    <t>1.3 (0.7-2.2)</t>
  </si>
  <si>
    <t>0.6 (0.4-1.1)</t>
  </si>
  <si>
    <t>0.8 (0.4-1.2)</t>
  </si>
  <si>
    <t>1.0 (0.6-1.5)</t>
  </si>
  <si>
    <t>0.4 (0.2-0.6)</t>
  </si>
  <si>
    <t>0.4 (0.3-0.6)</t>
  </si>
  <si>
    <t>1.1 (1.0-1.3)</t>
  </si>
  <si>
    <t>3.0 (1.9-5.1)</t>
  </si>
  <si>
    <t>2.6 (1.5-4.1)</t>
  </si>
  <si>
    <t>2.3 (1.5-3.3)</t>
  </si>
  <si>
    <t>1.3 (0.9-2.4)</t>
  </si>
  <si>
    <t>1.3 (0.7-1.9)</t>
  </si>
  <si>
    <t>2.0 (1.2-3.3)</t>
  </si>
  <si>
    <t>1.8 (1.4-2.4)</t>
  </si>
  <si>
    <t>1.5 (0.8-3.1)</t>
  </si>
  <si>
    <t>2.0 (1.1-4.9)</t>
  </si>
  <si>
    <t>1.8 (0.8-2.8)</t>
  </si>
  <si>
    <t>1.8 (1.0-3.3)</t>
  </si>
  <si>
    <t>0.8 (0.4-1.9)</t>
  </si>
  <si>
    <t>1.0 (0.6-1.7)</t>
  </si>
  <si>
    <t>2.8 (1.8-5.5)</t>
  </si>
  <si>
    <t>1.6 (0.8-3.6)</t>
  </si>
  <si>
    <t>1.4 (0.7-3.4)</t>
  </si>
  <si>
    <t>1.1 (0.6-2.1)</t>
  </si>
  <si>
    <t>Cx-MINCH</t>
  </si>
  <si>
    <t>0.9 (0.5-1.7)</t>
  </si>
  <si>
    <t>1.4 (0.8-3.4)</t>
  </si>
  <si>
    <t>1.2 (0.6-1.5)</t>
  </si>
  <si>
    <t>1.0 (0.6-1.9)</t>
  </si>
  <si>
    <t>1.2 (0.7-2.0)</t>
  </si>
  <si>
    <t>0.8 (0.4-1.8)</t>
  </si>
  <si>
    <t>0.8 (0.4-1.5)</t>
  </si>
  <si>
    <t>2.4 (1.2-4.7)</t>
  </si>
  <si>
    <t>3.4 (2.0-8.2)</t>
  </si>
  <si>
    <t>2.9 (1.7-4.3)</t>
  </si>
  <si>
    <t>2.8 (1.6-5.2)</t>
  </si>
  <si>
    <t>3.1 (1.9-5.6)</t>
  </si>
  <si>
    <t>1.6 (0.8-3.7)</t>
  </si>
  <si>
    <t>1.6 (0.9-2.7)</t>
  </si>
  <si>
    <t>2.4 (1.2-5.2)</t>
  </si>
  <si>
    <t>2.2 (1.2-4.9)</t>
  </si>
  <si>
    <t>2.1 (1.3-3.8)</t>
  </si>
  <si>
    <t xml:space="preserve">Table S1. Phthalates (DINCH) concentrations (µg/L) in urine collected among children from 12 HBM4EU Aligned Studies (N=2876, 6-11 years, 2014–2021).    </t>
  </si>
  <si>
    <t>Median (IQR)</t>
  </si>
  <si>
    <t>Median(IQR)</t>
  </si>
  <si>
    <r>
      <t xml:space="preserve">Abbreviations: HBM4EU Human Biomonitoring for Europe, BMI body mass index, MEP mono-ethyl phthalate, MiBP mono-iso-butyl phthalate,
 MnBP mono-n-butyl phthalate, MBzP mono-benzyl phthalate, ΣDEHP molar sum of di(2-ethylhexyl) phthalate metabolites (MEHP + 5OH-MEHP + 5oxo-MEHP + 5cx-MEPP),
 ΣDiNP molar sum of diisononyl phthalate metabolites (OH-MiNP + cx-MiNP), ΣDiDP molar sum of diisodecyl phthalate (OH-MiDP + cx-MiDP) , 
ΣDINCH molar sum of di(isononyl) cyclohexane-1,2-dicarboxylate metabolites (OH-MINCH + cx-MINCH). Details of abbreviations can be found in </t>
    </r>
    <r>
      <rPr>
        <b/>
        <sz val="11"/>
        <color theme="1"/>
        <rFont val="Calibri"/>
        <family val="2"/>
        <scheme val="minor"/>
      </rPr>
      <t>Supplementary Table S1.</t>
    </r>
    <r>
      <rPr>
        <sz val="11"/>
        <color theme="1"/>
        <rFont val="Calibri"/>
        <family val="2"/>
        <scheme val="minor"/>
      </rPr>
      <t xml:space="preserve">
For the adolescents, 10 studies targeting teenagers between 12 and 18 years of age were included here: 
NEBII (Norway), Riksmaten Adolescents (Sweden), POLAES (Poland), PCB cohort follow-up (Slovakia), SLO CRP (Slovenia), CROME (Greece), BEA (Biomonitorización en Adolescentes; Spain), ESTEBAN (France), 
GerES V-sub unweighted (Germany), and FLEHS IV (Flemish Environment and Health Study IV; Belgium), resulting in a total study population of 2499 adolescents from across Europe.</t>
    </r>
  </si>
  <si>
    <r>
      <rPr>
        <b/>
        <sz val="11"/>
        <color theme="1"/>
        <rFont val="Calibri"/>
        <family val="2"/>
        <scheme val="minor"/>
      </rPr>
      <t>Abbreviations</t>
    </r>
    <r>
      <rPr>
        <sz val="11"/>
        <color theme="1"/>
        <rFont val="Calibri"/>
        <family val="2"/>
        <scheme val="minor"/>
      </rPr>
      <t xml:space="preserve">: HBM4EU Human Biomonitoring for Europe, BMI body mass index, MEP mono-ethyl phthalate, MiBP mono-iso-butyl phthalate,
 MnBP mono-n-butyl phthalate, MBzP mono-benzyl phthalate, ΣDEHP molar sum of di(2-ethylhexyl) phthalate metabolites (MEHP + 5OH-MEHP + 5oxo-MEHP + 5cx-MEPP),
 ΣDiNP molar sum of diisononyl phthalate metabolites (OH-MiNP + cx-MiNP), ΣDiDP molar sum of diisodecyl phthalate (OH-MiDP + cx-MiDP) , 
ΣDINCH molar sum of di(isononyl) cyclohexane-1,2-dicarboxylate metabolites (OH-MINCH + cx-MINCH). Details of abbreviations can be found in </t>
    </r>
    <r>
      <rPr>
        <b/>
        <sz val="11"/>
        <color theme="1"/>
        <rFont val="Calibri"/>
        <family val="2"/>
        <scheme val="minor"/>
      </rPr>
      <t>Supplementary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>. 
The 12 studies targeting children (6-11 years) included NEBII (Norwegian Environmental Biobank II; Norway), OCC (Odense Child Cohort; Denmark), InAirQ (Transnational Adaption Actions for Integrated Indoor Air Quality Management; Hungary), 
PCB cohort (Endocrine disruptors and health in children and adolescents in Slovakia; Slovakia), POLAES (Polish Aligned Environmental Study; Poland), SLO CRP (Exposure of children and adolescents to selected chemicals through their habitat environment; Slovenia),
CROME (Cross-Mediterranean Environment and Health Network; Greece), NACII (Northern Adriatic cohort II; Italy), ESTEBAN (Étude de santé sur l'environnement, la biosurveillance, l'activité physique et la nutrition; France), 
GerES V-sub unweighted (German Environmental Survey subsample; Germany), 3xG (Gezondheid, Gemeenten, Geboorte studie; Belgium) and SPECIMEn-NL (Survey on PEstiCide Mixtures in Europe, The Netherlands) resulting in a total study population of 2876 children from across Europe.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</si>
</sst>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7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horizontal="left"/>
    </xf>
    <xf numFmtId="0" fontId="0" fillId="2" borderId="0" xfId="0" applyFill="1"/>
    <xf numFmtId="0" fontId="0" fillId="4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6" borderId="0" xfId="0" applyFill="1"/>
    <xf numFmtId="165" fontId="0" fillId="0" borderId="1" xfId="1" applyNumberFormat="1" applyFont="1" applyBorder="1"/>
    <xf numFmtId="165" fontId="0" fillId="0" borderId="1" xfId="1" applyNumberFormat="1" applyFont="1" applyFill="1" applyBorder="1"/>
    <xf numFmtId="165" fontId="0" fillId="5" borderId="1" xfId="1" applyNumberFormat="1" applyFont="1" applyFill="1" applyBorder="1"/>
    <xf numFmtId="165" fontId="0" fillId="6" borderId="1" xfId="1" applyNumberFormat="1" applyFont="1" applyFill="1" applyBorder="1"/>
    <xf numFmtId="0" fontId="6" fillId="0" borderId="0" xfId="0" applyFont="1"/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0" fillId="0" borderId="4" xfId="0" applyBorder="1"/>
    <xf numFmtId="3" fontId="0" fillId="0" borderId="5" xfId="0" applyNumberFormat="1" applyBorder="1" applyAlignment="1">
      <alignment horizontal="center"/>
    </xf>
    <xf numFmtId="3" fontId="0" fillId="5" borderId="5" xfId="0" applyNumberForma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21" xfId="0" applyFont="1" applyBorder="1"/>
    <xf numFmtId="0" fontId="3" fillId="5" borderId="21" xfId="0" applyFont="1" applyFill="1" applyBorder="1"/>
    <xf numFmtId="0" fontId="2" fillId="0" borderId="19" xfId="0" applyFont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165" fontId="0" fillId="5" borderId="23" xfId="1" applyNumberFormat="1" applyFont="1" applyFill="1" applyBorder="1"/>
    <xf numFmtId="0" fontId="0" fillId="5" borderId="23" xfId="0" applyFill="1" applyBorder="1"/>
    <xf numFmtId="0" fontId="2" fillId="5" borderId="24" xfId="0" applyFont="1" applyFill="1" applyBorder="1" applyAlignment="1">
      <alignment horizontal="left"/>
    </xf>
    <xf numFmtId="0" fontId="3" fillId="6" borderId="21" xfId="0" applyFont="1" applyFill="1" applyBorder="1"/>
    <xf numFmtId="0" fontId="3" fillId="5" borderId="26" xfId="0" applyFont="1" applyFill="1" applyBorder="1"/>
    <xf numFmtId="0" fontId="1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3" fontId="0" fillId="5" borderId="25" xfId="0" applyNumberFormat="1" applyFill="1" applyBorder="1" applyAlignment="1">
      <alignment horizontal="center"/>
    </xf>
    <xf numFmtId="0" fontId="2" fillId="0" borderId="27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1" fillId="0" borderId="28" xfId="0" applyFont="1" applyBorder="1"/>
    <xf numFmtId="0" fontId="1" fillId="0" borderId="9" xfId="0" quotePrefix="1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0" fillId="0" borderId="3" xfId="0" applyBorder="1"/>
    <xf numFmtId="0" fontId="0" fillId="6" borderId="3" xfId="0" applyFill="1" applyBorder="1"/>
    <xf numFmtId="0" fontId="0" fillId="5" borderId="3" xfId="0" applyFill="1" applyBorder="1"/>
    <xf numFmtId="0" fontId="2" fillId="0" borderId="5" xfId="0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34" xfId="0" applyFont="1" applyFill="1" applyBorder="1" applyAlignment="1">
      <alignment horizontal="center"/>
    </xf>
    <xf numFmtId="165" fontId="0" fillId="5" borderId="34" xfId="1" applyNumberFormat="1" applyFont="1" applyFill="1" applyBorder="1"/>
    <xf numFmtId="0" fontId="2" fillId="5" borderId="34" xfId="0" applyFont="1" applyFill="1" applyBorder="1" applyAlignment="1">
      <alignment horizontal="left"/>
    </xf>
    <xf numFmtId="0" fontId="2" fillId="0" borderId="37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65" fontId="0" fillId="0" borderId="23" xfId="1" applyNumberFormat="1" applyFont="1" applyBorder="1"/>
    <xf numFmtId="0" fontId="2" fillId="0" borderId="24" xfId="0" applyFont="1" applyBorder="1" applyAlignment="1">
      <alignment horizontal="left"/>
    </xf>
    <xf numFmtId="0" fontId="1" fillId="0" borderId="7" xfId="0" applyFont="1" applyBorder="1"/>
    <xf numFmtId="0" fontId="2" fillId="0" borderId="3" xfId="0" applyFont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38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0" borderId="19" xfId="0" applyBorder="1"/>
    <xf numFmtId="0" fontId="0" fillId="5" borderId="19" xfId="0" applyFill="1" applyBorder="1"/>
    <xf numFmtId="0" fontId="0" fillId="5" borderId="24" xfId="0" applyFill="1" applyBorder="1"/>
    <xf numFmtId="0" fontId="3" fillId="0" borderId="27" xfId="0" applyFont="1" applyBorder="1"/>
    <xf numFmtId="3" fontId="0" fillId="0" borderId="8" xfId="0" applyNumberFormat="1" applyBorder="1" applyAlignment="1">
      <alignment horizontal="center"/>
    </xf>
    <xf numFmtId="165" fontId="0" fillId="0" borderId="6" xfId="1" applyNumberFormat="1" applyFont="1" applyBorder="1"/>
    <xf numFmtId="0" fontId="0" fillId="0" borderId="28" xfId="0" applyBorder="1"/>
    <xf numFmtId="0" fontId="5" fillId="0" borderId="26" xfId="0" applyFont="1" applyBorder="1"/>
    <xf numFmtId="0" fontId="5" fillId="0" borderId="2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/>
    <xf numFmtId="0" fontId="5" fillId="0" borderId="38" xfId="0" applyFont="1" applyBorder="1"/>
    <xf numFmtId="0" fontId="0" fillId="0" borderId="7" xfId="0" applyBorder="1"/>
    <xf numFmtId="0" fontId="0" fillId="5" borderId="38" xfId="0" applyFill="1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0" xfId="0" quotePrefix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3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2" fontId="7" fillId="0" borderId="30" xfId="0" applyNumberFormat="1" applyFont="1" applyBorder="1" applyAlignment="1">
      <alignment horizontal="center"/>
    </xf>
    <xf numFmtId="2" fontId="7" fillId="0" borderId="31" xfId="0" applyNumberFormat="1" applyFont="1" applyBorder="1" applyAlignment="1">
      <alignment horizontal="center"/>
    </xf>
    <xf numFmtId="0" fontId="1" fillId="0" borderId="29" xfId="0" quotePrefix="1" applyFont="1" applyBorder="1" applyAlignment="1">
      <alignment horizontal="center" wrapText="1"/>
    </xf>
    <xf numFmtId="0" fontId="1" fillId="0" borderId="30" xfId="0" quotePrefix="1" applyFont="1" applyBorder="1" applyAlignment="1">
      <alignment horizontal="center" wrapText="1"/>
    </xf>
    <xf numFmtId="0" fontId="1" fillId="0" borderId="31" xfId="0" quotePrefix="1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9" xfId="0" applyFont="1" applyBorder="1" applyAlignment="1">
      <alignment vertical="center" wrapText="1"/>
    </xf>
    <xf numFmtId="0" fontId="0" fillId="0" borderId="36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0" fillId="0" borderId="41" xfId="0" applyFont="1" applyBorder="1" applyAlignment="1">
      <alignment vertical="center" wrapText="1"/>
    </xf>
    <xf numFmtId="0" fontId="0" fillId="0" borderId="43" xfId="0" applyFont="1" applyBorder="1" applyAlignment="1">
      <alignment vertical="center" wrapText="1"/>
    </xf>
    <xf numFmtId="0" fontId="0" fillId="0" borderId="42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9" fillId="0" borderId="0" xfId="0" applyFont="1" applyAlignment="1">
      <alignment vertic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0659-E053-4583-8B30-743853F4F221}">
  <dimension ref="A1:F29"/>
  <sheetViews>
    <sheetView tabSelected="1" zoomScale="120" zoomScaleNormal="120" workbookViewId="0"/>
  </sheetViews>
  <sheetFormatPr baseColWidth="10" defaultColWidth="11.3828125" defaultRowHeight="14.6" x14ac:dyDescent="0.4"/>
  <cols>
    <col min="1" max="1" width="36.3046875" customWidth="1"/>
    <col min="2" max="2" width="14.3828125" customWidth="1"/>
    <col min="3" max="3" width="14.3046875" customWidth="1"/>
    <col min="4" max="4" width="61.3828125" customWidth="1"/>
    <col min="5" max="5" width="18.69140625" customWidth="1"/>
  </cols>
  <sheetData>
    <row r="1" spans="1:6" ht="15.9" x14ac:dyDescent="0.4">
      <c r="A1" s="138" t="s">
        <v>0</v>
      </c>
      <c r="B1" s="94"/>
      <c r="C1" s="94"/>
      <c r="D1" s="94"/>
      <c r="E1" s="126"/>
      <c r="F1" s="126"/>
    </row>
    <row r="2" spans="1:6" ht="15" thickBot="1" x14ac:dyDescent="0.45">
      <c r="A2" s="127"/>
      <c r="B2" s="126"/>
      <c r="C2" s="126"/>
      <c r="D2" s="126"/>
      <c r="E2" s="126"/>
      <c r="F2" s="126"/>
    </row>
    <row r="3" spans="1:6" ht="27" customHeight="1" x14ac:dyDescent="0.4">
      <c r="A3" s="128" t="s">
        <v>1</v>
      </c>
      <c r="B3" s="129" t="s">
        <v>2</v>
      </c>
      <c r="C3" s="129" t="s">
        <v>3</v>
      </c>
      <c r="D3" s="129" t="s">
        <v>4</v>
      </c>
      <c r="E3" s="129" t="s">
        <v>2</v>
      </c>
      <c r="F3" s="129" t="s">
        <v>5</v>
      </c>
    </row>
    <row r="4" spans="1:6" ht="27" customHeight="1" x14ac:dyDescent="0.4">
      <c r="A4" s="130" t="s">
        <v>6</v>
      </c>
      <c r="B4" s="131"/>
      <c r="C4" s="131"/>
      <c r="D4" s="131"/>
      <c r="E4" s="131"/>
      <c r="F4" s="132"/>
    </row>
    <row r="5" spans="1:6" ht="27" customHeight="1" x14ac:dyDescent="0.4">
      <c r="A5" s="133" t="s">
        <v>7</v>
      </c>
      <c r="B5" s="134" t="s">
        <v>8</v>
      </c>
      <c r="C5" s="134" t="s">
        <v>9</v>
      </c>
      <c r="D5" s="134" t="s">
        <v>10</v>
      </c>
      <c r="E5" s="134" t="s">
        <v>11</v>
      </c>
      <c r="F5" s="134" t="s">
        <v>12</v>
      </c>
    </row>
    <row r="6" spans="1:6" ht="27" customHeight="1" x14ac:dyDescent="0.4">
      <c r="A6" s="133" t="s">
        <v>13</v>
      </c>
      <c r="B6" s="134" t="s">
        <v>14</v>
      </c>
      <c r="C6" s="134" t="s">
        <v>15</v>
      </c>
      <c r="D6" s="134" t="s">
        <v>16</v>
      </c>
      <c r="E6" s="134" t="s">
        <v>17</v>
      </c>
      <c r="F6" s="134" t="s">
        <v>18</v>
      </c>
    </row>
    <row r="7" spans="1:6" ht="27" customHeight="1" x14ac:dyDescent="0.4">
      <c r="A7" s="133" t="s">
        <v>19</v>
      </c>
      <c r="B7" s="134" t="s">
        <v>20</v>
      </c>
      <c r="C7" s="134" t="s">
        <v>21</v>
      </c>
      <c r="D7" s="134" t="s">
        <v>22</v>
      </c>
      <c r="E7" s="134" t="s">
        <v>23</v>
      </c>
      <c r="F7" s="134" t="s">
        <v>24</v>
      </c>
    </row>
    <row r="8" spans="1:6" ht="27" customHeight="1" x14ac:dyDescent="0.4">
      <c r="A8" s="133" t="s">
        <v>25</v>
      </c>
      <c r="B8" s="134" t="s">
        <v>26</v>
      </c>
      <c r="C8" s="134" t="s">
        <v>27</v>
      </c>
      <c r="D8" s="134" t="s">
        <v>28</v>
      </c>
      <c r="E8" s="134" t="s">
        <v>29</v>
      </c>
      <c r="F8" s="134" t="s">
        <v>30</v>
      </c>
    </row>
    <row r="9" spans="1:6" ht="27" customHeight="1" x14ac:dyDescent="0.4">
      <c r="A9" s="135" t="s">
        <v>31</v>
      </c>
      <c r="B9" s="135" t="s">
        <v>32</v>
      </c>
      <c r="C9" s="135" t="s">
        <v>33</v>
      </c>
      <c r="D9" s="134" t="s">
        <v>34</v>
      </c>
      <c r="E9" s="134" t="s">
        <v>35</v>
      </c>
      <c r="F9" s="134"/>
    </row>
    <row r="10" spans="1:6" ht="27" customHeight="1" x14ac:dyDescent="0.4">
      <c r="A10" s="136"/>
      <c r="B10" s="136"/>
      <c r="C10" s="136"/>
      <c r="D10" s="134" t="s">
        <v>36</v>
      </c>
      <c r="E10" s="134" t="s">
        <v>37</v>
      </c>
      <c r="F10" s="134"/>
    </row>
    <row r="11" spans="1:6" ht="27" customHeight="1" x14ac:dyDescent="0.4">
      <c r="A11" s="136"/>
      <c r="B11" s="136"/>
      <c r="C11" s="136"/>
      <c r="D11" s="134" t="s">
        <v>38</v>
      </c>
      <c r="E11" s="134" t="s">
        <v>39</v>
      </c>
      <c r="F11" s="134"/>
    </row>
    <row r="12" spans="1:6" ht="27" customHeight="1" x14ac:dyDescent="0.4">
      <c r="A12" s="136"/>
      <c r="B12" s="136"/>
      <c r="C12" s="136"/>
      <c r="D12" s="134" t="s">
        <v>40</v>
      </c>
      <c r="E12" s="134" t="s">
        <v>41</v>
      </c>
      <c r="F12" s="134"/>
    </row>
    <row r="13" spans="1:6" ht="27" customHeight="1" x14ac:dyDescent="0.4">
      <c r="A13" s="136"/>
      <c r="B13" s="136"/>
      <c r="C13" s="136"/>
      <c r="D13" s="134" t="s">
        <v>42</v>
      </c>
      <c r="E13" s="134" t="s">
        <v>43</v>
      </c>
      <c r="F13" s="134"/>
    </row>
    <row r="14" spans="1:6" ht="27" customHeight="1" x14ac:dyDescent="0.4">
      <c r="A14" s="137"/>
      <c r="B14" s="137"/>
      <c r="C14" s="137"/>
      <c r="D14" s="134" t="s">
        <v>44</v>
      </c>
      <c r="E14" s="134" t="s">
        <v>45</v>
      </c>
      <c r="F14" s="134" t="s">
        <v>46</v>
      </c>
    </row>
    <row r="15" spans="1:6" ht="27" customHeight="1" x14ac:dyDescent="0.4">
      <c r="A15" s="135" t="s">
        <v>47</v>
      </c>
      <c r="B15" s="135" t="s">
        <v>48</v>
      </c>
      <c r="C15" s="135" t="s">
        <v>49</v>
      </c>
      <c r="D15" s="134" t="s">
        <v>50</v>
      </c>
      <c r="E15" s="134" t="s">
        <v>51</v>
      </c>
      <c r="F15" s="134"/>
    </row>
    <row r="16" spans="1:6" ht="27" customHeight="1" x14ac:dyDescent="0.4">
      <c r="A16" s="136"/>
      <c r="B16" s="136"/>
      <c r="C16" s="136"/>
      <c r="D16" s="134" t="s">
        <v>52</v>
      </c>
      <c r="E16" s="134" t="s">
        <v>53</v>
      </c>
      <c r="F16" s="134"/>
    </row>
    <row r="17" spans="1:6" ht="27" customHeight="1" x14ac:dyDescent="0.4">
      <c r="A17" s="136"/>
      <c r="B17" s="136"/>
      <c r="C17" s="136"/>
      <c r="D17" s="134" t="s">
        <v>54</v>
      </c>
      <c r="E17" s="134" t="s">
        <v>55</v>
      </c>
      <c r="F17" s="134"/>
    </row>
    <row r="18" spans="1:6" ht="27" customHeight="1" x14ac:dyDescent="0.4">
      <c r="A18" s="136"/>
      <c r="B18" s="136"/>
      <c r="C18" s="136"/>
      <c r="D18" s="134" t="s">
        <v>56</v>
      </c>
      <c r="E18" s="134" t="s">
        <v>57</v>
      </c>
      <c r="F18" s="134"/>
    </row>
    <row r="19" spans="1:6" ht="27" customHeight="1" x14ac:dyDescent="0.4">
      <c r="A19" s="137"/>
      <c r="B19" s="137"/>
      <c r="C19" s="137"/>
      <c r="D19" s="134" t="s">
        <v>58</v>
      </c>
      <c r="E19" s="134" t="s">
        <v>59</v>
      </c>
      <c r="F19" s="134" t="s">
        <v>60</v>
      </c>
    </row>
    <row r="20" spans="1:6" ht="27" customHeight="1" x14ac:dyDescent="0.4">
      <c r="A20" s="135" t="s">
        <v>61</v>
      </c>
      <c r="B20" s="135" t="s">
        <v>62</v>
      </c>
      <c r="C20" s="135" t="s">
        <v>63</v>
      </c>
      <c r="D20" s="134" t="s">
        <v>64</v>
      </c>
      <c r="E20" s="134" t="s">
        <v>65</v>
      </c>
      <c r="F20" s="134"/>
    </row>
    <row r="21" spans="1:6" ht="27" customHeight="1" x14ac:dyDescent="0.4">
      <c r="A21" s="136"/>
      <c r="B21" s="136"/>
      <c r="C21" s="136"/>
      <c r="D21" s="134" t="s">
        <v>66</v>
      </c>
      <c r="E21" s="134" t="s">
        <v>67</v>
      </c>
      <c r="F21" s="134"/>
    </row>
    <row r="22" spans="1:6" ht="27" customHeight="1" x14ac:dyDescent="0.4">
      <c r="A22" s="136"/>
      <c r="B22" s="136"/>
      <c r="C22" s="136"/>
      <c r="D22" s="134" t="s">
        <v>68</v>
      </c>
      <c r="E22" s="134" t="s">
        <v>69</v>
      </c>
      <c r="F22" s="134"/>
    </row>
    <row r="23" spans="1:6" ht="27" customHeight="1" x14ac:dyDescent="0.4">
      <c r="A23" s="136"/>
      <c r="B23" s="136"/>
      <c r="C23" s="136"/>
      <c r="D23" s="134" t="s">
        <v>70</v>
      </c>
      <c r="E23" s="134" t="s">
        <v>71</v>
      </c>
      <c r="F23" s="134"/>
    </row>
    <row r="24" spans="1:6" ht="27" customHeight="1" x14ac:dyDescent="0.4">
      <c r="A24" s="137"/>
      <c r="B24" s="137"/>
      <c r="C24" s="137"/>
      <c r="D24" s="134" t="s">
        <v>72</v>
      </c>
      <c r="E24" s="134" t="s">
        <v>73</v>
      </c>
      <c r="F24" s="134" t="s">
        <v>74</v>
      </c>
    </row>
    <row r="25" spans="1:6" ht="27" customHeight="1" x14ac:dyDescent="0.4">
      <c r="A25" s="130" t="s">
        <v>75</v>
      </c>
      <c r="B25" s="131"/>
      <c r="C25" s="131"/>
      <c r="D25" s="131"/>
      <c r="E25" s="131"/>
      <c r="F25" s="132"/>
    </row>
    <row r="26" spans="1:6" ht="27" customHeight="1" x14ac:dyDescent="0.4">
      <c r="A26" s="135" t="s">
        <v>76</v>
      </c>
      <c r="B26" s="135" t="s">
        <v>77</v>
      </c>
      <c r="C26" s="135" t="s">
        <v>78</v>
      </c>
      <c r="D26" s="134" t="s">
        <v>79</v>
      </c>
      <c r="E26" s="134" t="s">
        <v>80</v>
      </c>
      <c r="F26" s="134"/>
    </row>
    <row r="27" spans="1:6" ht="27" customHeight="1" x14ac:dyDescent="0.4">
      <c r="A27" s="136"/>
      <c r="B27" s="136"/>
      <c r="C27" s="136"/>
      <c r="D27" s="134" t="s">
        <v>81</v>
      </c>
      <c r="E27" s="134" t="s">
        <v>82</v>
      </c>
      <c r="F27" s="134"/>
    </row>
    <row r="28" spans="1:6" ht="27" customHeight="1" x14ac:dyDescent="0.4">
      <c r="A28" s="137"/>
      <c r="B28" s="137"/>
      <c r="C28" s="137"/>
      <c r="D28" s="134" t="s">
        <v>83</v>
      </c>
      <c r="E28" s="134" t="s">
        <v>84</v>
      </c>
      <c r="F28" s="134" t="s">
        <v>85</v>
      </c>
    </row>
    <row r="29" spans="1:6" x14ac:dyDescent="0.4">
      <c r="A29" s="90" t="s">
        <v>86</v>
      </c>
      <c r="B29" s="126"/>
      <c r="C29" s="126"/>
      <c r="D29" s="126"/>
      <c r="E29" s="126"/>
      <c r="F29" s="126"/>
    </row>
  </sheetData>
  <mergeCells count="14">
    <mergeCell ref="A4:F4"/>
    <mergeCell ref="A9:A14"/>
    <mergeCell ref="B9:B14"/>
    <mergeCell ref="C9:C14"/>
    <mergeCell ref="A15:A19"/>
    <mergeCell ref="B15:B19"/>
    <mergeCell ref="C15:C19"/>
    <mergeCell ref="A20:A24"/>
    <mergeCell ref="B20:B24"/>
    <mergeCell ref="C20:C24"/>
    <mergeCell ref="A25:F25"/>
    <mergeCell ref="A26:A28"/>
    <mergeCell ref="B26:B28"/>
    <mergeCell ref="C26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638B-70ED-49A3-B3F9-2C649A29DF2F}">
  <dimension ref="A1:CC24"/>
  <sheetViews>
    <sheetView zoomScale="120" zoomScaleNormal="12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29" sqref="D29"/>
    </sheetView>
  </sheetViews>
  <sheetFormatPr baseColWidth="10" defaultColWidth="9.15234375" defaultRowHeight="15.9" x14ac:dyDescent="0.45"/>
  <cols>
    <col min="1" max="1" width="20" style="1" customWidth="1"/>
    <col min="2" max="2" width="7.3828125" style="6" customWidth="1"/>
    <col min="3" max="3" width="9.15234375" style="1" customWidth="1"/>
    <col min="4" max="4" width="14.3046875" style="1" customWidth="1"/>
    <col min="5" max="5" width="7.3828125" style="6" customWidth="1"/>
    <col min="6" max="6" width="9.15234375" style="6" customWidth="1"/>
    <col min="7" max="7" width="14.3046875" style="1" customWidth="1"/>
    <col min="8" max="8" width="6.53515625" style="6" customWidth="1"/>
    <col min="9" max="9" width="9.15234375" style="6" customWidth="1"/>
    <col min="10" max="10" width="14.15234375" style="1" customWidth="1"/>
    <col min="11" max="11" width="6.15234375" style="6" customWidth="1"/>
    <col min="12" max="12" width="9.15234375" style="6" customWidth="1"/>
    <col min="13" max="13" width="13.84375" style="1" customWidth="1"/>
    <col min="14" max="14" width="6" style="6" customWidth="1"/>
    <col min="15" max="15" width="9.15234375" style="6" customWidth="1"/>
    <col min="16" max="16" width="13.84375" style="1" customWidth="1"/>
    <col min="17" max="17" width="7" style="6" customWidth="1"/>
    <col min="18" max="18" width="11" style="6" customWidth="1"/>
    <col min="19" max="19" width="15.3828125" style="1" customWidth="1"/>
    <col min="20" max="20" width="6.3828125" style="6" customWidth="1"/>
    <col min="21" max="21" width="8.3828125" style="1" customWidth="1"/>
    <col min="22" max="22" width="13" style="1" customWidth="1"/>
    <col min="23" max="23" width="6.69140625" style="6" customWidth="1"/>
    <col min="24" max="24" width="11" style="6" customWidth="1"/>
    <col min="25" max="25" width="14.53515625" style="1" customWidth="1"/>
    <col min="26" max="26" width="5.15234375" style="6" customWidth="1"/>
    <col min="27" max="27" width="11" style="6" customWidth="1"/>
    <col min="28" max="28" width="14.53515625" style="1" customWidth="1"/>
    <col min="29" max="29" width="6" style="6" customWidth="1"/>
    <col min="30" max="30" width="11" style="6" customWidth="1"/>
    <col min="31" max="31" width="13.69140625" style="1" customWidth="1"/>
    <col min="32" max="32" width="7.3828125" style="6" customWidth="1"/>
    <col min="33" max="33" width="11" style="6" customWidth="1"/>
    <col min="34" max="34" width="15.53515625" style="1" customWidth="1"/>
    <col min="35" max="35" width="7.3828125" style="6" customWidth="1"/>
    <col min="36" max="36" width="11" style="6" customWidth="1"/>
    <col min="37" max="37" width="16.3046875" style="1" customWidth="1"/>
    <col min="38" max="38" width="6.15234375" style="6" customWidth="1"/>
    <col min="39" max="39" width="11" style="6" customWidth="1"/>
    <col min="40" max="40" width="16.3828125" style="1" customWidth="1"/>
  </cols>
  <sheetData>
    <row r="1" spans="1:40" ht="17.149999999999999" customHeight="1" x14ac:dyDescent="0.4">
      <c r="A1" s="98" t="s">
        <v>87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</row>
    <row r="2" spans="1:40" ht="17.149999999999999" customHeight="1" thickBot="1" x14ac:dyDescent="0.45">
      <c r="A2" s="13"/>
      <c r="B2" s="30"/>
      <c r="C2" s="13"/>
      <c r="D2" s="13"/>
      <c r="E2" s="30"/>
      <c r="F2" s="13"/>
      <c r="G2" s="13"/>
      <c r="H2" s="30"/>
      <c r="I2" s="13"/>
      <c r="J2" s="13"/>
      <c r="K2" s="30"/>
      <c r="L2" s="13"/>
      <c r="M2" s="13"/>
      <c r="N2" s="30"/>
      <c r="O2" s="13"/>
      <c r="P2" s="13"/>
      <c r="Q2" s="30"/>
      <c r="R2" s="13"/>
      <c r="S2" s="13"/>
      <c r="T2" s="30"/>
      <c r="U2" s="13"/>
      <c r="V2" s="13"/>
      <c r="W2" s="30"/>
      <c r="X2" s="13"/>
      <c r="Y2" s="13"/>
      <c r="Z2" s="30"/>
      <c r="AA2" s="13"/>
      <c r="AB2" s="13"/>
      <c r="AC2" s="30"/>
      <c r="AD2" s="13"/>
      <c r="AE2" s="13"/>
      <c r="AF2" s="30"/>
      <c r="AG2" s="13"/>
      <c r="AH2" s="13"/>
      <c r="AI2" s="30"/>
      <c r="AJ2" s="13"/>
      <c r="AK2" s="13"/>
      <c r="AL2" s="30"/>
      <c r="AM2" s="13"/>
      <c r="AN2" s="13"/>
    </row>
    <row r="3" spans="1:40" s="5" customFormat="1" ht="27" customHeight="1" thickBot="1" x14ac:dyDescent="0.5">
      <c r="A3" s="41" t="s">
        <v>88</v>
      </c>
      <c r="B3" s="111" t="s">
        <v>89</v>
      </c>
      <c r="C3" s="112"/>
      <c r="D3" s="113"/>
      <c r="E3" s="103" t="s">
        <v>90</v>
      </c>
      <c r="F3" s="104"/>
      <c r="G3" s="105"/>
      <c r="H3" s="100" t="s">
        <v>91</v>
      </c>
      <c r="I3" s="101"/>
      <c r="J3" s="102"/>
      <c r="K3" s="106" t="s">
        <v>92</v>
      </c>
      <c r="L3" s="101"/>
      <c r="M3" s="107"/>
      <c r="N3" s="108" t="s">
        <v>93</v>
      </c>
      <c r="O3" s="109"/>
      <c r="P3" s="110"/>
      <c r="Q3" s="103" t="s">
        <v>94</v>
      </c>
      <c r="R3" s="104"/>
      <c r="S3" s="105"/>
      <c r="T3" s="100" t="s">
        <v>95</v>
      </c>
      <c r="U3" s="101"/>
      <c r="V3" s="102"/>
      <c r="W3" s="106" t="s">
        <v>96</v>
      </c>
      <c r="X3" s="101"/>
      <c r="Y3" s="107"/>
      <c r="Z3" s="104" t="s">
        <v>97</v>
      </c>
      <c r="AA3" s="104"/>
      <c r="AB3" s="104"/>
      <c r="AC3" s="103" t="s">
        <v>98</v>
      </c>
      <c r="AD3" s="104"/>
      <c r="AE3" s="105"/>
      <c r="AF3" s="100" t="s">
        <v>99</v>
      </c>
      <c r="AG3" s="101"/>
      <c r="AH3" s="102"/>
      <c r="AI3" s="106" t="s">
        <v>100</v>
      </c>
      <c r="AJ3" s="101"/>
      <c r="AK3" s="107"/>
      <c r="AL3" s="100" t="s">
        <v>101</v>
      </c>
      <c r="AM3" s="101"/>
      <c r="AN3" s="107"/>
    </row>
    <row r="4" spans="1:40" ht="20.25" customHeight="1" x14ac:dyDescent="0.45">
      <c r="A4" s="37"/>
      <c r="B4" s="38" t="s">
        <v>102</v>
      </c>
      <c r="C4" s="39" t="s">
        <v>103</v>
      </c>
      <c r="D4" s="42" t="s">
        <v>104</v>
      </c>
      <c r="E4" s="51" t="s">
        <v>102</v>
      </c>
      <c r="F4" s="14" t="s">
        <v>103</v>
      </c>
      <c r="G4" s="40" t="s">
        <v>104</v>
      </c>
      <c r="H4" s="38" t="s">
        <v>102</v>
      </c>
      <c r="I4" s="14" t="s">
        <v>103</v>
      </c>
      <c r="J4" s="59" t="s">
        <v>104</v>
      </c>
      <c r="K4" s="51" t="s">
        <v>102</v>
      </c>
      <c r="L4" s="14" t="s">
        <v>103</v>
      </c>
      <c r="M4" s="40" t="s">
        <v>104</v>
      </c>
      <c r="N4" s="38" t="s">
        <v>102</v>
      </c>
      <c r="O4" s="14" t="s">
        <v>103</v>
      </c>
      <c r="P4" s="59" t="s">
        <v>104</v>
      </c>
      <c r="Q4" s="51" t="s">
        <v>102</v>
      </c>
      <c r="R4" s="14" t="s">
        <v>103</v>
      </c>
      <c r="S4" s="40" t="s">
        <v>104</v>
      </c>
      <c r="T4" s="38" t="s">
        <v>102</v>
      </c>
      <c r="U4" s="14" t="s">
        <v>103</v>
      </c>
      <c r="V4" s="59" t="s">
        <v>104</v>
      </c>
      <c r="W4" s="51" t="s">
        <v>102</v>
      </c>
      <c r="X4" s="14" t="s">
        <v>103</v>
      </c>
      <c r="Y4" s="40" t="s">
        <v>104</v>
      </c>
      <c r="Z4" s="38" t="s">
        <v>102</v>
      </c>
      <c r="AA4" s="14" t="s">
        <v>103</v>
      </c>
      <c r="AB4" s="59" t="s">
        <v>104</v>
      </c>
      <c r="AC4" s="51" t="s">
        <v>102</v>
      </c>
      <c r="AD4" s="14" t="s">
        <v>103</v>
      </c>
      <c r="AE4" s="40" t="s">
        <v>104</v>
      </c>
      <c r="AF4" s="38" t="s">
        <v>102</v>
      </c>
      <c r="AG4" s="14" t="s">
        <v>103</v>
      </c>
      <c r="AH4" s="59" t="s">
        <v>104</v>
      </c>
      <c r="AI4" s="51" t="s">
        <v>102</v>
      </c>
      <c r="AJ4" s="14" t="s">
        <v>103</v>
      </c>
      <c r="AK4" s="40" t="s">
        <v>104</v>
      </c>
      <c r="AL4" s="38" t="s">
        <v>102</v>
      </c>
      <c r="AM4" s="14" t="s">
        <v>103</v>
      </c>
      <c r="AN4" s="40" t="s">
        <v>104</v>
      </c>
    </row>
    <row r="5" spans="1:40" x14ac:dyDescent="0.45">
      <c r="A5" s="20" t="s">
        <v>12</v>
      </c>
      <c r="B5" s="31">
        <v>2876</v>
      </c>
      <c r="C5" s="8">
        <f>(B5-8)/B5</f>
        <v>0.99721835883171073</v>
      </c>
      <c r="D5" s="43" t="s">
        <v>105</v>
      </c>
      <c r="E5" s="52">
        <v>286</v>
      </c>
      <c r="F5" s="8">
        <v>1</v>
      </c>
      <c r="G5" s="53" t="s">
        <v>106</v>
      </c>
      <c r="H5" s="46">
        <v>161</v>
      </c>
      <c r="I5" s="8">
        <v>1</v>
      </c>
      <c r="J5" s="60" t="s">
        <v>107</v>
      </c>
      <c r="K5" s="52">
        <v>300</v>
      </c>
      <c r="L5" s="8">
        <f>(K5-2)/K5</f>
        <v>0.99333333333333329</v>
      </c>
      <c r="M5" s="22" t="s">
        <v>108</v>
      </c>
      <c r="N5" s="46">
        <v>149</v>
      </c>
      <c r="O5" s="8">
        <f>1</f>
        <v>1</v>
      </c>
      <c r="P5" s="60" t="s">
        <v>109</v>
      </c>
      <c r="Q5" s="52">
        <v>300</v>
      </c>
      <c r="R5" s="8">
        <f>1</f>
        <v>1</v>
      </c>
      <c r="S5" s="22" t="s">
        <v>110</v>
      </c>
      <c r="T5" s="46">
        <v>300</v>
      </c>
      <c r="U5" s="8">
        <f>(T5-1)/T5</f>
        <v>0.9966666666666667</v>
      </c>
      <c r="V5" s="60" t="s">
        <v>111</v>
      </c>
      <c r="W5" s="52">
        <v>262</v>
      </c>
      <c r="X5" s="8">
        <f>1</f>
        <v>1</v>
      </c>
      <c r="Y5" s="22" t="s">
        <v>112</v>
      </c>
      <c r="Z5" s="46">
        <v>89</v>
      </c>
      <c r="AA5" s="8">
        <f>1</f>
        <v>1</v>
      </c>
      <c r="AB5" s="60" t="s">
        <v>113</v>
      </c>
      <c r="AC5" s="52">
        <v>300</v>
      </c>
      <c r="AD5" s="8">
        <f>(AC5-6)/AC5</f>
        <v>0.98</v>
      </c>
      <c r="AE5" s="22" t="s">
        <v>114</v>
      </c>
      <c r="AF5" s="46">
        <v>300</v>
      </c>
      <c r="AG5" s="8">
        <f>(AF5-1)/AF5</f>
        <v>0.9966666666666667</v>
      </c>
      <c r="AH5" s="60" t="s">
        <v>115</v>
      </c>
      <c r="AI5" s="52">
        <v>300</v>
      </c>
      <c r="AJ5" s="8">
        <f>1</f>
        <v>1</v>
      </c>
      <c r="AK5" s="22" t="s">
        <v>116</v>
      </c>
      <c r="AL5" s="46">
        <v>133</v>
      </c>
      <c r="AM5" s="8">
        <f>1</f>
        <v>1</v>
      </c>
      <c r="AN5" s="22" t="s">
        <v>117</v>
      </c>
    </row>
    <row r="6" spans="1:40" x14ac:dyDescent="0.45">
      <c r="A6" s="20" t="s">
        <v>18</v>
      </c>
      <c r="B6" s="31">
        <v>2575</v>
      </c>
      <c r="C6" s="8">
        <f>1</f>
        <v>1</v>
      </c>
      <c r="D6" s="43" t="s">
        <v>118</v>
      </c>
      <c r="E6" s="52">
        <v>286</v>
      </c>
      <c r="F6" s="8">
        <v>1</v>
      </c>
      <c r="G6" s="53" t="s">
        <v>119</v>
      </c>
      <c r="H6" s="46">
        <v>161</v>
      </c>
      <c r="I6" s="8">
        <f>1</f>
        <v>1</v>
      </c>
      <c r="J6" s="60" t="s">
        <v>120</v>
      </c>
      <c r="K6" s="52">
        <v>300</v>
      </c>
      <c r="L6" s="8">
        <f>1</f>
        <v>1</v>
      </c>
      <c r="M6" s="22" t="s">
        <v>121</v>
      </c>
      <c r="N6" s="46">
        <v>149</v>
      </c>
      <c r="O6" s="8">
        <f>1</f>
        <v>1</v>
      </c>
      <c r="P6" s="60" t="s">
        <v>122</v>
      </c>
      <c r="Q6" s="52"/>
      <c r="R6" s="8"/>
      <c r="S6" s="22" t="s">
        <v>123</v>
      </c>
      <c r="T6" s="46">
        <v>300</v>
      </c>
      <c r="U6" s="8">
        <f>1</f>
        <v>1</v>
      </c>
      <c r="V6" s="60" t="s">
        <v>124</v>
      </c>
      <c r="W6" s="52">
        <v>262</v>
      </c>
      <c r="X6" s="8">
        <f>1</f>
        <v>1</v>
      </c>
      <c r="Y6" s="22" t="s">
        <v>125</v>
      </c>
      <c r="Z6" s="46">
        <v>89</v>
      </c>
      <c r="AA6" s="8">
        <f>1</f>
        <v>1</v>
      </c>
      <c r="AB6" s="60" t="s">
        <v>126</v>
      </c>
      <c r="AC6" s="52">
        <v>300</v>
      </c>
      <c r="AD6" s="8">
        <f>1</f>
        <v>1</v>
      </c>
      <c r="AE6" s="22" t="s">
        <v>127</v>
      </c>
      <c r="AF6" s="46">
        <v>300</v>
      </c>
      <c r="AG6" s="8">
        <f>(AF6-1)/AF6</f>
        <v>0.9966666666666667</v>
      </c>
      <c r="AH6" s="60" t="s">
        <v>128</v>
      </c>
      <c r="AI6" s="52">
        <v>300</v>
      </c>
      <c r="AJ6" s="8">
        <f>1</f>
        <v>1</v>
      </c>
      <c r="AK6" s="22" t="s">
        <v>129</v>
      </c>
      <c r="AL6" s="46">
        <v>133</v>
      </c>
      <c r="AM6" s="8">
        <f>1</f>
        <v>1</v>
      </c>
      <c r="AN6" s="22" t="s">
        <v>130</v>
      </c>
    </row>
    <row r="7" spans="1:40" x14ac:dyDescent="0.45">
      <c r="A7" s="20" t="s">
        <v>24</v>
      </c>
      <c r="B7" s="31">
        <v>2875</v>
      </c>
      <c r="C7" s="8">
        <f>(B7-4)/B7</f>
        <v>0.99860869565217392</v>
      </c>
      <c r="D7" s="43" t="s">
        <v>131</v>
      </c>
      <c r="E7" s="52">
        <v>286</v>
      </c>
      <c r="F7" s="8">
        <v>1</v>
      </c>
      <c r="G7" s="22" t="s">
        <v>132</v>
      </c>
      <c r="H7" s="46">
        <v>161</v>
      </c>
      <c r="I7" s="8">
        <f>1</f>
        <v>1</v>
      </c>
      <c r="J7" s="60" t="s">
        <v>133</v>
      </c>
      <c r="K7" s="52">
        <v>300</v>
      </c>
      <c r="L7" s="8">
        <f>1</f>
        <v>1</v>
      </c>
      <c r="M7" s="22" t="s">
        <v>134</v>
      </c>
      <c r="N7" s="46">
        <v>149</v>
      </c>
      <c r="O7" s="8">
        <f>1</f>
        <v>1</v>
      </c>
      <c r="P7" s="60" t="s">
        <v>135</v>
      </c>
      <c r="Q7" s="52">
        <v>300</v>
      </c>
      <c r="R7" s="8">
        <f>1</f>
        <v>1</v>
      </c>
      <c r="S7" s="22" t="s">
        <v>136</v>
      </c>
      <c r="T7" s="46">
        <v>300</v>
      </c>
      <c r="U7" s="8">
        <f>1</f>
        <v>1</v>
      </c>
      <c r="V7" s="60" t="s">
        <v>137</v>
      </c>
      <c r="W7" s="52">
        <v>262</v>
      </c>
      <c r="X7" s="8">
        <f>(W7-2)/W7</f>
        <v>0.99236641221374045</v>
      </c>
      <c r="Y7" s="22" t="s">
        <v>138</v>
      </c>
      <c r="Z7" s="46">
        <v>89</v>
      </c>
      <c r="AA7" s="8">
        <f>1</f>
        <v>1</v>
      </c>
      <c r="AB7" s="60" t="s">
        <v>139</v>
      </c>
      <c r="AC7" s="52">
        <v>300</v>
      </c>
      <c r="AD7" s="8">
        <f>1</f>
        <v>1</v>
      </c>
      <c r="AE7" s="22" t="s">
        <v>140</v>
      </c>
      <c r="AF7" s="46">
        <v>300</v>
      </c>
      <c r="AG7" s="8">
        <f>1</f>
        <v>1</v>
      </c>
      <c r="AH7" s="60" t="s">
        <v>141</v>
      </c>
      <c r="AI7" s="52">
        <v>300</v>
      </c>
      <c r="AJ7" s="8">
        <f>1</f>
        <v>1</v>
      </c>
      <c r="AK7" s="22" t="s">
        <v>142</v>
      </c>
      <c r="AL7" s="46">
        <v>133</v>
      </c>
      <c r="AM7" s="8">
        <f>1</f>
        <v>1</v>
      </c>
      <c r="AN7" s="22" t="s">
        <v>143</v>
      </c>
    </row>
    <row r="8" spans="1:40" x14ac:dyDescent="0.45">
      <c r="A8" s="20" t="s">
        <v>30</v>
      </c>
      <c r="B8" s="31">
        <v>2875</v>
      </c>
      <c r="C8" s="8">
        <f>(B8-73)/B8</f>
        <v>0.9746086956521739</v>
      </c>
      <c r="D8" s="43" t="s">
        <v>144</v>
      </c>
      <c r="E8" s="52">
        <v>286</v>
      </c>
      <c r="F8" s="8">
        <v>1</v>
      </c>
      <c r="G8" s="22" t="s">
        <v>145</v>
      </c>
      <c r="H8" s="46">
        <v>161</v>
      </c>
      <c r="I8" s="8">
        <f>(H8-5)/H8</f>
        <v>0.96894409937888204</v>
      </c>
      <c r="J8" s="60" t="s">
        <v>146</v>
      </c>
      <c r="K8" s="52">
        <v>300</v>
      </c>
      <c r="L8" s="8">
        <f>1</f>
        <v>1</v>
      </c>
      <c r="M8" s="22" t="s">
        <v>147</v>
      </c>
      <c r="N8" s="46">
        <v>149</v>
      </c>
      <c r="O8" s="8">
        <f>1</f>
        <v>1</v>
      </c>
      <c r="P8" s="60" t="s">
        <v>148</v>
      </c>
      <c r="Q8" s="52">
        <v>300</v>
      </c>
      <c r="R8" s="8">
        <f>(Q8-15)/Q8</f>
        <v>0.95</v>
      </c>
      <c r="S8" s="22" t="s">
        <v>149</v>
      </c>
      <c r="T8" s="46">
        <v>300</v>
      </c>
      <c r="U8" s="8">
        <f>1</f>
        <v>1</v>
      </c>
      <c r="V8" s="60" t="s">
        <v>150</v>
      </c>
      <c r="W8" s="52">
        <v>262</v>
      </c>
      <c r="X8" s="8">
        <f>(W8-34)/W8</f>
        <v>0.87022900763358779</v>
      </c>
      <c r="Y8" s="22" t="s">
        <v>151</v>
      </c>
      <c r="Z8" s="46">
        <v>89</v>
      </c>
      <c r="AA8" s="8">
        <f>(Z8-4)/Z8</f>
        <v>0.9550561797752809</v>
      </c>
      <c r="AB8" s="60" t="s">
        <v>152</v>
      </c>
      <c r="AC8" s="52">
        <v>300</v>
      </c>
      <c r="AD8" s="8">
        <f>(AC8-3)/AC8</f>
        <v>0.99</v>
      </c>
      <c r="AE8" s="22" t="s">
        <v>153</v>
      </c>
      <c r="AF8" s="46">
        <v>300</v>
      </c>
      <c r="AG8" s="8">
        <f>(AF8-9)/AF8</f>
        <v>0.97</v>
      </c>
      <c r="AH8" s="60" t="s">
        <v>154</v>
      </c>
      <c r="AI8" s="52">
        <v>300</v>
      </c>
      <c r="AJ8" s="8">
        <f>(AI8-1)/AI8</f>
        <v>0.9966666666666667</v>
      </c>
      <c r="AK8" s="22" t="s">
        <v>155</v>
      </c>
      <c r="AL8" s="46">
        <v>133</v>
      </c>
      <c r="AM8" s="8">
        <f>(AL8-2)/AL8</f>
        <v>0.98496240601503759</v>
      </c>
      <c r="AN8" s="22" t="s">
        <v>156</v>
      </c>
    </row>
    <row r="9" spans="1:40" s="7" customFormat="1" x14ac:dyDescent="0.45">
      <c r="A9" s="28" t="s">
        <v>35</v>
      </c>
      <c r="B9" s="32">
        <v>2576</v>
      </c>
      <c r="C9" s="8">
        <f>(B9-229)/B9</f>
        <v>0.91110248447204967</v>
      </c>
      <c r="D9" s="44" t="s">
        <v>157</v>
      </c>
      <c r="E9" s="54">
        <v>286</v>
      </c>
      <c r="F9" s="8">
        <v>0.94755244755244761</v>
      </c>
      <c r="G9" s="23" t="s">
        <v>158</v>
      </c>
      <c r="H9" s="46">
        <v>161</v>
      </c>
      <c r="I9" s="8">
        <f>(H9-2)/H9</f>
        <v>0.98757763975155277</v>
      </c>
      <c r="J9" s="61" t="s">
        <v>159</v>
      </c>
      <c r="K9" s="52"/>
      <c r="L9" s="8"/>
      <c r="M9" s="23"/>
      <c r="N9" s="46">
        <v>149</v>
      </c>
      <c r="O9" s="8">
        <f>(N9-6)/N9</f>
        <v>0.95973154362416102</v>
      </c>
      <c r="P9" s="61" t="s">
        <v>160</v>
      </c>
      <c r="Q9" s="52">
        <v>300</v>
      </c>
      <c r="R9" s="8">
        <f>(Q9-11)/Q9</f>
        <v>0.96333333333333337</v>
      </c>
      <c r="S9" s="23" t="s">
        <v>161</v>
      </c>
      <c r="T9" s="46">
        <v>300</v>
      </c>
      <c r="U9" s="9">
        <f>(T9-32)/T9</f>
        <v>0.89333333333333331</v>
      </c>
      <c r="V9" s="61" t="s">
        <v>162</v>
      </c>
      <c r="W9" s="54">
        <v>262</v>
      </c>
      <c r="X9" s="8">
        <f>(W9-23)/W9</f>
        <v>0.91221374045801529</v>
      </c>
      <c r="Y9" s="23" t="s">
        <v>163</v>
      </c>
      <c r="Z9" s="66">
        <v>89</v>
      </c>
      <c r="AA9" s="8">
        <f>(Z9-7)/Z9</f>
        <v>0.9213483146067416</v>
      </c>
      <c r="AB9" s="61" t="s">
        <v>164</v>
      </c>
      <c r="AC9" s="54">
        <v>300</v>
      </c>
      <c r="AD9" s="8">
        <f>(AC9-67)/AC9</f>
        <v>0.77666666666666662</v>
      </c>
      <c r="AE9" s="23" t="s">
        <v>165</v>
      </c>
      <c r="AF9" s="46">
        <v>300</v>
      </c>
      <c r="AG9" s="8">
        <f>(AF9-6)/AF9</f>
        <v>0.98</v>
      </c>
      <c r="AH9" s="61" t="s">
        <v>166</v>
      </c>
      <c r="AI9" s="52">
        <v>300</v>
      </c>
      <c r="AJ9" s="8">
        <f>(AI9-52)/AI9</f>
        <v>0.82666666666666666</v>
      </c>
      <c r="AK9" s="23" t="s">
        <v>167</v>
      </c>
      <c r="AL9" s="46">
        <v>133</v>
      </c>
      <c r="AM9" s="8">
        <f>(AL9-8)/AL9</f>
        <v>0.93984962406015038</v>
      </c>
      <c r="AN9" s="23" t="s">
        <v>168</v>
      </c>
    </row>
    <row r="10" spans="1:40" x14ac:dyDescent="0.45">
      <c r="A10" s="20" t="s">
        <v>169</v>
      </c>
      <c r="B10" s="31">
        <v>2875</v>
      </c>
      <c r="C10" s="8">
        <f>(B10-3)/B10</f>
        <v>0.99895652173913041</v>
      </c>
      <c r="D10" s="43" t="s">
        <v>170</v>
      </c>
      <c r="E10" s="52">
        <v>286</v>
      </c>
      <c r="F10" s="8">
        <v>1</v>
      </c>
      <c r="G10" s="22" t="s">
        <v>171</v>
      </c>
      <c r="H10" s="46">
        <v>161</v>
      </c>
      <c r="I10" s="8">
        <f>(H10-1)/H10</f>
        <v>0.99378881987577639</v>
      </c>
      <c r="J10" s="60" t="s">
        <v>172</v>
      </c>
      <c r="K10" s="52">
        <v>300</v>
      </c>
      <c r="L10" s="8">
        <f>1</f>
        <v>1</v>
      </c>
      <c r="M10" s="22" t="s">
        <v>173</v>
      </c>
      <c r="N10" s="46">
        <v>149</v>
      </c>
      <c r="O10" s="8">
        <f>1</f>
        <v>1</v>
      </c>
      <c r="P10" s="60" t="s">
        <v>174</v>
      </c>
      <c r="Q10" s="52">
        <v>300</v>
      </c>
      <c r="R10" s="8">
        <f>1</f>
        <v>1</v>
      </c>
      <c r="S10" s="22" t="s">
        <v>175</v>
      </c>
      <c r="T10" s="46">
        <v>300</v>
      </c>
      <c r="U10" s="8">
        <f>1</f>
        <v>1</v>
      </c>
      <c r="V10" s="60" t="s">
        <v>176</v>
      </c>
      <c r="W10" s="52">
        <v>262</v>
      </c>
      <c r="X10" s="8">
        <f>(W10-3)/W10</f>
        <v>0.98854961832061072</v>
      </c>
      <c r="Y10" s="22" t="s">
        <v>177</v>
      </c>
      <c r="Z10" s="46">
        <v>89</v>
      </c>
      <c r="AA10" s="8">
        <f>1</f>
        <v>1</v>
      </c>
      <c r="AB10" s="60" t="s">
        <v>178</v>
      </c>
      <c r="AC10" s="52">
        <v>300</v>
      </c>
      <c r="AD10" s="8">
        <f>1</f>
        <v>1</v>
      </c>
      <c r="AE10" s="22" t="s">
        <v>179</v>
      </c>
      <c r="AF10" s="46">
        <v>300</v>
      </c>
      <c r="AG10" s="8">
        <f>1</f>
        <v>1</v>
      </c>
      <c r="AH10" s="60" t="s">
        <v>180</v>
      </c>
      <c r="AI10" s="52">
        <v>300</v>
      </c>
      <c r="AJ10" s="8">
        <f>1</f>
        <v>1</v>
      </c>
      <c r="AK10" s="22" t="s">
        <v>181</v>
      </c>
      <c r="AL10" s="46">
        <v>133</v>
      </c>
      <c r="AM10" s="8">
        <f>1</f>
        <v>1</v>
      </c>
      <c r="AN10" s="22" t="s">
        <v>182</v>
      </c>
    </row>
    <row r="11" spans="1:40" x14ac:dyDescent="0.45">
      <c r="A11" s="20" t="s">
        <v>183</v>
      </c>
      <c r="B11" s="31">
        <v>2873</v>
      </c>
      <c r="C11" s="8">
        <f>(B11-13)/B11</f>
        <v>0.99547511312217196</v>
      </c>
      <c r="D11" s="43" t="s">
        <v>184</v>
      </c>
      <c r="E11" s="52">
        <v>286</v>
      </c>
      <c r="F11" s="8">
        <v>1</v>
      </c>
      <c r="G11" s="22" t="s">
        <v>185</v>
      </c>
      <c r="H11" s="46">
        <v>161</v>
      </c>
      <c r="I11" s="8">
        <f>1</f>
        <v>1</v>
      </c>
      <c r="J11" s="60" t="s">
        <v>186</v>
      </c>
      <c r="K11" s="52">
        <v>300</v>
      </c>
      <c r="L11" s="8">
        <f>1</f>
        <v>1</v>
      </c>
      <c r="M11" s="22" t="s">
        <v>187</v>
      </c>
      <c r="N11" s="46">
        <v>149</v>
      </c>
      <c r="O11" s="8">
        <f>1</f>
        <v>1</v>
      </c>
      <c r="P11" s="60" t="s">
        <v>188</v>
      </c>
      <c r="Q11" s="52">
        <v>300</v>
      </c>
      <c r="R11" s="8">
        <f>1</f>
        <v>1</v>
      </c>
      <c r="S11" s="22" t="s">
        <v>189</v>
      </c>
      <c r="T11" s="46">
        <v>300</v>
      </c>
      <c r="U11" s="8">
        <f>1</f>
        <v>1</v>
      </c>
      <c r="V11" s="60" t="s">
        <v>190</v>
      </c>
      <c r="W11" s="52">
        <v>262</v>
      </c>
      <c r="X11" s="8">
        <f>(W11-12)/W11</f>
        <v>0.95419847328244278</v>
      </c>
      <c r="Y11" s="22" t="s">
        <v>191</v>
      </c>
      <c r="Z11" s="46">
        <v>89</v>
      </c>
      <c r="AA11" s="8">
        <f>1</f>
        <v>1</v>
      </c>
      <c r="AB11" s="60" t="s">
        <v>192</v>
      </c>
      <c r="AC11" s="52">
        <v>300</v>
      </c>
      <c r="AD11" s="8">
        <f>1</f>
        <v>1</v>
      </c>
      <c r="AE11" s="22" t="s">
        <v>193</v>
      </c>
      <c r="AF11" s="46">
        <v>300</v>
      </c>
      <c r="AG11" s="8">
        <f>1</f>
        <v>1</v>
      </c>
      <c r="AH11" s="60" t="s">
        <v>194</v>
      </c>
      <c r="AI11" s="52">
        <v>300</v>
      </c>
      <c r="AJ11" s="8">
        <f>1</f>
        <v>1</v>
      </c>
      <c r="AK11" s="22" t="s">
        <v>195</v>
      </c>
      <c r="AL11" s="46">
        <v>133</v>
      </c>
      <c r="AM11" s="8">
        <f>1</f>
        <v>1</v>
      </c>
      <c r="AN11" s="22" t="s">
        <v>196</v>
      </c>
    </row>
    <row r="12" spans="1:40" x14ac:dyDescent="0.45">
      <c r="A12" s="20" t="s">
        <v>197</v>
      </c>
      <c r="B12" s="31">
        <v>2875</v>
      </c>
      <c r="C12" s="8">
        <f>1</f>
        <v>1</v>
      </c>
      <c r="D12" s="43" t="s">
        <v>198</v>
      </c>
      <c r="E12" s="52">
        <v>286</v>
      </c>
      <c r="F12" s="8">
        <v>1</v>
      </c>
      <c r="G12" s="22" t="s">
        <v>199</v>
      </c>
      <c r="H12" s="46">
        <v>161</v>
      </c>
      <c r="I12" s="8">
        <f>1</f>
        <v>1</v>
      </c>
      <c r="J12" s="60" t="s">
        <v>200</v>
      </c>
      <c r="K12" s="52">
        <v>300</v>
      </c>
      <c r="L12" s="8">
        <f>1</f>
        <v>1</v>
      </c>
      <c r="M12" s="22" t="s">
        <v>201</v>
      </c>
      <c r="N12" s="46">
        <v>149</v>
      </c>
      <c r="O12" s="8">
        <f>1</f>
        <v>1</v>
      </c>
      <c r="P12" s="60" t="s">
        <v>202</v>
      </c>
      <c r="Q12" s="52">
        <v>300</v>
      </c>
      <c r="R12" s="8">
        <f>1</f>
        <v>1</v>
      </c>
      <c r="S12" s="22" t="s">
        <v>203</v>
      </c>
      <c r="T12" s="46">
        <v>300</v>
      </c>
      <c r="U12" s="8">
        <f>1</f>
        <v>1</v>
      </c>
      <c r="V12" s="60" t="s">
        <v>204</v>
      </c>
      <c r="W12" s="52">
        <v>262</v>
      </c>
      <c r="X12" s="8">
        <f>1</f>
        <v>1</v>
      </c>
      <c r="Y12" s="22" t="s">
        <v>205</v>
      </c>
      <c r="Z12" s="46">
        <v>89</v>
      </c>
      <c r="AA12" s="8">
        <f>1</f>
        <v>1</v>
      </c>
      <c r="AB12" s="60" t="s">
        <v>206</v>
      </c>
      <c r="AC12" s="52">
        <v>300</v>
      </c>
      <c r="AD12" s="8">
        <f>1</f>
        <v>1</v>
      </c>
      <c r="AE12" s="22" t="s">
        <v>207</v>
      </c>
      <c r="AF12" s="46">
        <v>300</v>
      </c>
      <c r="AG12" s="8">
        <f>1</f>
        <v>1</v>
      </c>
      <c r="AH12" s="60" t="s">
        <v>208</v>
      </c>
      <c r="AI12" s="52">
        <v>300</v>
      </c>
      <c r="AJ12" s="8">
        <f>1</f>
        <v>1</v>
      </c>
      <c r="AK12" s="22" t="s">
        <v>209</v>
      </c>
      <c r="AL12" s="46">
        <v>133</v>
      </c>
      <c r="AM12" s="8">
        <f>1</f>
        <v>1</v>
      </c>
      <c r="AN12" s="22" t="s">
        <v>210</v>
      </c>
    </row>
    <row r="13" spans="1:40" x14ac:dyDescent="0.45">
      <c r="A13" s="21" t="s">
        <v>211</v>
      </c>
      <c r="B13" s="33">
        <v>2574</v>
      </c>
      <c r="C13" s="10">
        <f>(B13-229)/B13</f>
        <v>0.91103341103341107</v>
      </c>
      <c r="D13" s="45" t="s">
        <v>212</v>
      </c>
      <c r="E13" s="55">
        <v>286</v>
      </c>
      <c r="F13" s="10">
        <v>0.94755244755244761</v>
      </c>
      <c r="G13" s="24" t="s">
        <v>213</v>
      </c>
      <c r="H13" s="47">
        <v>161</v>
      </c>
      <c r="I13" s="10">
        <f>(H13-2)/H13</f>
        <v>0.98757763975155277</v>
      </c>
      <c r="J13" s="62" t="s">
        <v>214</v>
      </c>
      <c r="K13" s="55"/>
      <c r="L13" s="10"/>
      <c r="M13" s="24"/>
      <c r="N13" s="47">
        <v>149</v>
      </c>
      <c r="O13" s="10">
        <f>(N13-6)/N13</f>
        <v>0.95973154362416102</v>
      </c>
      <c r="P13" s="62" t="s">
        <v>215</v>
      </c>
      <c r="Q13" s="55">
        <v>300</v>
      </c>
      <c r="R13" s="10">
        <f>(Q13-11)/Q13</f>
        <v>0.96333333333333337</v>
      </c>
      <c r="S13" s="24" t="s">
        <v>216</v>
      </c>
      <c r="T13" s="47">
        <v>300</v>
      </c>
      <c r="U13" s="10">
        <f>(T13-32)/T13</f>
        <v>0.89333333333333331</v>
      </c>
      <c r="V13" s="62" t="s">
        <v>217</v>
      </c>
      <c r="W13" s="55">
        <v>262</v>
      </c>
      <c r="X13" s="10">
        <f>(W13-23)/W13</f>
        <v>0.91221374045801529</v>
      </c>
      <c r="Y13" s="24" t="s">
        <v>218</v>
      </c>
      <c r="Z13" s="47">
        <v>89</v>
      </c>
      <c r="AA13" s="10">
        <f>(Z13-7)/Z13</f>
        <v>0.9213483146067416</v>
      </c>
      <c r="AB13" s="62" t="s">
        <v>219</v>
      </c>
      <c r="AC13" s="55">
        <v>300</v>
      </c>
      <c r="AD13" s="10">
        <f>(AC13-67)/AC13</f>
        <v>0.77666666666666662</v>
      </c>
      <c r="AE13" s="24" t="s">
        <v>220</v>
      </c>
      <c r="AF13" s="47">
        <v>300</v>
      </c>
      <c r="AG13" s="10">
        <f>(AF13-6)/AF13</f>
        <v>0.98</v>
      </c>
      <c r="AH13" s="62" t="s">
        <v>221</v>
      </c>
      <c r="AI13" s="55">
        <v>300</v>
      </c>
      <c r="AJ13" s="10">
        <f>(AI13-52)/AI13</f>
        <v>0.82666666666666666</v>
      </c>
      <c r="AK13" s="24" t="s">
        <v>222</v>
      </c>
      <c r="AL13" s="47">
        <v>133</v>
      </c>
      <c r="AM13" s="10">
        <f>(AL13-8)/AL13</f>
        <v>0.93984962406015038</v>
      </c>
      <c r="AN13" s="24" t="s">
        <v>223</v>
      </c>
    </row>
    <row r="14" spans="1:40" x14ac:dyDescent="0.45">
      <c r="A14" s="20" t="s">
        <v>53</v>
      </c>
      <c r="B14" s="31">
        <v>2280</v>
      </c>
      <c r="C14" s="8">
        <f>(B14-55)/B14</f>
        <v>0.97587719298245612</v>
      </c>
      <c r="D14" s="43" t="s">
        <v>224</v>
      </c>
      <c r="E14" s="52">
        <v>286</v>
      </c>
      <c r="F14" s="8">
        <v>1</v>
      </c>
      <c r="G14" s="22" t="s">
        <v>225</v>
      </c>
      <c r="H14" s="46">
        <v>161</v>
      </c>
      <c r="I14" s="8">
        <f>(H14-7)/H14</f>
        <v>0.95652173913043481</v>
      </c>
      <c r="J14" s="60" t="s">
        <v>226</v>
      </c>
      <c r="K14" s="52"/>
      <c r="L14" s="8"/>
      <c r="M14" s="22"/>
      <c r="N14" s="46">
        <v>149</v>
      </c>
      <c r="O14" s="8">
        <f>1</f>
        <v>1</v>
      </c>
      <c r="P14" s="60" t="s">
        <v>227</v>
      </c>
      <c r="Q14" s="52">
        <v>300</v>
      </c>
      <c r="R14" s="8">
        <f>(Q14-8)/Q14</f>
        <v>0.97333333333333338</v>
      </c>
      <c r="S14" s="22" t="s">
        <v>228</v>
      </c>
      <c r="T14" s="46">
        <v>300</v>
      </c>
      <c r="U14" s="8">
        <f>1</f>
        <v>1</v>
      </c>
      <c r="V14" s="60" t="s">
        <v>229</v>
      </c>
      <c r="W14" s="52">
        <v>262</v>
      </c>
      <c r="X14" s="8">
        <f>(W14-18)/W14</f>
        <v>0.93129770992366412</v>
      </c>
      <c r="Y14" s="22" t="s">
        <v>230</v>
      </c>
      <c r="Z14" s="46">
        <v>89</v>
      </c>
      <c r="AA14" s="8">
        <f>1</f>
        <v>1</v>
      </c>
      <c r="AB14" s="60" t="s">
        <v>231</v>
      </c>
      <c r="AC14" s="52">
        <v>300</v>
      </c>
      <c r="AD14" s="8">
        <f>(AC14-2)/AC14</f>
        <v>0.99333333333333329</v>
      </c>
      <c r="AE14" s="22" t="s">
        <v>232</v>
      </c>
      <c r="AF14" s="46"/>
      <c r="AG14" s="8"/>
      <c r="AH14" s="60" t="s">
        <v>123</v>
      </c>
      <c r="AI14" s="52">
        <v>300</v>
      </c>
      <c r="AJ14" s="8">
        <f>1</f>
        <v>1</v>
      </c>
      <c r="AK14" s="22" t="s">
        <v>233</v>
      </c>
      <c r="AL14" s="46">
        <v>133</v>
      </c>
      <c r="AM14" s="8">
        <f>(AL14-20)/AL14</f>
        <v>0.84962406015037595</v>
      </c>
      <c r="AN14" s="22" t="s">
        <v>234</v>
      </c>
    </row>
    <row r="15" spans="1:40" x14ac:dyDescent="0.45">
      <c r="A15" s="20" t="s">
        <v>71</v>
      </c>
      <c r="B15" s="31">
        <v>2280</v>
      </c>
      <c r="C15" s="8">
        <f>(B15-49)/B15</f>
        <v>0.97850877192982455</v>
      </c>
      <c r="D15" s="43" t="s">
        <v>235</v>
      </c>
      <c r="E15" s="52">
        <v>286</v>
      </c>
      <c r="F15" s="8">
        <v>1</v>
      </c>
      <c r="G15" s="22" t="s">
        <v>236</v>
      </c>
      <c r="H15" s="46">
        <v>161</v>
      </c>
      <c r="I15" s="8">
        <f>(H15-1)/H15</f>
        <v>0.99378881987577639</v>
      </c>
      <c r="J15" s="60" t="s">
        <v>237</v>
      </c>
      <c r="K15" s="52"/>
      <c r="L15" s="8"/>
      <c r="M15" s="22"/>
      <c r="N15" s="46">
        <v>149</v>
      </c>
      <c r="O15" s="8">
        <f>1</f>
        <v>1</v>
      </c>
      <c r="P15" s="60" t="s">
        <v>238</v>
      </c>
      <c r="Q15" s="52">
        <v>300</v>
      </c>
      <c r="R15" s="8">
        <f>1</f>
        <v>1</v>
      </c>
      <c r="S15" s="22" t="s">
        <v>239</v>
      </c>
      <c r="T15" s="46">
        <v>300</v>
      </c>
      <c r="U15" s="8">
        <f>(T15-2)/T15</f>
        <v>0.99333333333333329</v>
      </c>
      <c r="V15" s="60" t="s">
        <v>240</v>
      </c>
      <c r="W15" s="52">
        <v>262</v>
      </c>
      <c r="X15" s="8">
        <f>1</f>
        <v>1</v>
      </c>
      <c r="Y15" s="22" t="s">
        <v>241</v>
      </c>
      <c r="Z15" s="46">
        <v>89</v>
      </c>
      <c r="AA15" s="8">
        <f>1</f>
        <v>1</v>
      </c>
      <c r="AB15" s="60" t="s">
        <v>242</v>
      </c>
      <c r="AC15" s="52">
        <v>300</v>
      </c>
      <c r="AD15" s="8">
        <f>1</f>
        <v>1</v>
      </c>
      <c r="AE15" s="22" t="s">
        <v>243</v>
      </c>
      <c r="AF15" s="46"/>
      <c r="AG15" s="8"/>
      <c r="AH15" s="60" t="s">
        <v>123</v>
      </c>
      <c r="AI15" s="52">
        <v>300</v>
      </c>
      <c r="AJ15" s="8">
        <f>1</f>
        <v>1</v>
      </c>
      <c r="AK15" s="22" t="s">
        <v>244</v>
      </c>
      <c r="AL15" s="46">
        <v>133</v>
      </c>
      <c r="AM15" s="8">
        <f>(AL15-46)/AL15</f>
        <v>0.65413533834586468</v>
      </c>
      <c r="AN15" s="22" t="s">
        <v>245</v>
      </c>
    </row>
    <row r="16" spans="1:40" x14ac:dyDescent="0.45">
      <c r="A16" s="21" t="s">
        <v>246</v>
      </c>
      <c r="B16" s="33">
        <v>2280</v>
      </c>
      <c r="C16" s="10">
        <f>(B16-55)/B16</f>
        <v>0.97587719298245612</v>
      </c>
      <c r="D16" s="45" t="s">
        <v>247</v>
      </c>
      <c r="E16" s="55">
        <v>286</v>
      </c>
      <c r="F16" s="10">
        <v>1</v>
      </c>
      <c r="G16" s="24" t="s">
        <v>248</v>
      </c>
      <c r="H16" s="47">
        <v>161</v>
      </c>
      <c r="I16" s="10">
        <f>(H16-7)/H16</f>
        <v>0.95652173913043481</v>
      </c>
      <c r="J16" s="62" t="s">
        <v>249</v>
      </c>
      <c r="K16" s="55"/>
      <c r="L16" s="10"/>
      <c r="M16" s="24"/>
      <c r="N16" s="47">
        <v>149</v>
      </c>
      <c r="O16" s="10">
        <f>1</f>
        <v>1</v>
      </c>
      <c r="P16" s="62" t="s">
        <v>250</v>
      </c>
      <c r="Q16" s="55">
        <v>300</v>
      </c>
      <c r="R16" s="10">
        <f>(Q16-8)/Q16</f>
        <v>0.97333333333333338</v>
      </c>
      <c r="S16" s="24" t="s">
        <v>251</v>
      </c>
      <c r="T16" s="47">
        <v>300</v>
      </c>
      <c r="U16" s="10">
        <f>(T16-2)/T16</f>
        <v>0.99333333333333329</v>
      </c>
      <c r="V16" s="62" t="s">
        <v>252</v>
      </c>
      <c r="W16" s="55">
        <v>262</v>
      </c>
      <c r="X16" s="10">
        <f>(W16-18)/W16</f>
        <v>0.93129770992366412</v>
      </c>
      <c r="Y16" s="24" t="s">
        <v>253</v>
      </c>
      <c r="Z16" s="47">
        <v>89</v>
      </c>
      <c r="AA16" s="10">
        <f>1</f>
        <v>1</v>
      </c>
      <c r="AB16" s="62" t="s">
        <v>254</v>
      </c>
      <c r="AC16" s="55">
        <v>300</v>
      </c>
      <c r="AD16" s="10">
        <f>(AC16-2)/AC16</f>
        <v>0.99333333333333329</v>
      </c>
      <c r="AE16" s="24" t="s">
        <v>255</v>
      </c>
      <c r="AF16" s="47"/>
      <c r="AG16" s="10"/>
      <c r="AH16" s="62" t="s">
        <v>123</v>
      </c>
      <c r="AI16" s="55">
        <v>300</v>
      </c>
      <c r="AJ16" s="10">
        <f>1</f>
        <v>1</v>
      </c>
      <c r="AK16" s="24" t="s">
        <v>256</v>
      </c>
      <c r="AL16" s="47">
        <v>133</v>
      </c>
      <c r="AM16" s="10">
        <f>(AL16-46)/AL16</f>
        <v>0.65413533834586468</v>
      </c>
      <c r="AN16" s="24" t="s">
        <v>257</v>
      </c>
    </row>
    <row r="17" spans="1:81" s="3" customFormat="1" x14ac:dyDescent="0.45">
      <c r="A17" s="20" t="s">
        <v>67</v>
      </c>
      <c r="B17" s="31">
        <v>2579</v>
      </c>
      <c r="C17" s="8">
        <f>(B17-137)/B17</f>
        <v>0.94687863512989534</v>
      </c>
      <c r="D17" s="43" t="s">
        <v>258</v>
      </c>
      <c r="E17" s="52">
        <v>286</v>
      </c>
      <c r="F17" s="8">
        <v>0.97902097902097907</v>
      </c>
      <c r="G17" s="22" t="s">
        <v>259</v>
      </c>
      <c r="H17" s="46">
        <v>161</v>
      </c>
      <c r="I17" s="8">
        <f>(H17-7)/H17</f>
        <v>0.95652173913043481</v>
      </c>
      <c r="J17" s="60" t="s">
        <v>260</v>
      </c>
      <c r="K17" s="52">
        <v>300</v>
      </c>
      <c r="L17" s="8">
        <f>1</f>
        <v>1</v>
      </c>
      <c r="M17" s="22" t="s">
        <v>261</v>
      </c>
      <c r="N17" s="46">
        <v>149</v>
      </c>
      <c r="O17" s="8">
        <f>(N17-2)/N17</f>
        <v>0.98657718120805371</v>
      </c>
      <c r="P17" s="60" t="s">
        <v>262</v>
      </c>
      <c r="Q17" s="52">
        <v>300</v>
      </c>
      <c r="R17" s="8">
        <f>(Q17-21)/Q17</f>
        <v>0.93</v>
      </c>
      <c r="S17" s="22" t="s">
        <v>263</v>
      </c>
      <c r="T17" s="46">
        <v>300</v>
      </c>
      <c r="U17" s="8">
        <f>(T17-2)/T17</f>
        <v>0.99333333333333329</v>
      </c>
      <c r="V17" s="60" t="s">
        <v>264</v>
      </c>
      <c r="W17" s="52">
        <v>262</v>
      </c>
      <c r="X17" s="8">
        <f>(W17-53)/W17</f>
        <v>0.79770992366412219</v>
      </c>
      <c r="Y17" s="22" t="s">
        <v>265</v>
      </c>
      <c r="Z17" s="46">
        <v>89</v>
      </c>
      <c r="AA17" s="8">
        <f>(Z17-4)/Z17</f>
        <v>0.9550561797752809</v>
      </c>
      <c r="AB17" s="60" t="s">
        <v>266</v>
      </c>
      <c r="AC17" s="52">
        <v>300</v>
      </c>
      <c r="AD17" s="8">
        <f>(AC17-21)/AC17</f>
        <v>0.93</v>
      </c>
      <c r="AE17" s="22" t="s">
        <v>267</v>
      </c>
      <c r="AF17" s="46"/>
      <c r="AG17" s="8"/>
      <c r="AH17" s="60"/>
      <c r="AI17" s="52">
        <v>300</v>
      </c>
      <c r="AJ17" s="8">
        <f>(AI17-2)/AI17</f>
        <v>0.99333333333333329</v>
      </c>
      <c r="AK17" s="22" t="s">
        <v>161</v>
      </c>
      <c r="AL17" s="46">
        <v>133</v>
      </c>
      <c r="AM17" s="8">
        <f>(AL17-3)/AL17</f>
        <v>0.97744360902255634</v>
      </c>
      <c r="AN17" s="22" t="s">
        <v>268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 s="3" customFormat="1" x14ac:dyDescent="0.45">
      <c r="A18" s="20" t="s">
        <v>269</v>
      </c>
      <c r="B18" s="31">
        <v>1819</v>
      </c>
      <c r="C18" s="8">
        <f>(B18-187)/B18</f>
        <v>0.89719626168224298</v>
      </c>
      <c r="D18" s="43" t="s">
        <v>270</v>
      </c>
      <c r="E18" s="52">
        <v>286</v>
      </c>
      <c r="F18" s="8">
        <v>0.99650349650349646</v>
      </c>
      <c r="G18" s="22" t="s">
        <v>271</v>
      </c>
      <c r="H18" s="46"/>
      <c r="I18" s="8"/>
      <c r="J18" s="60"/>
      <c r="K18" s="52"/>
      <c r="L18" s="8"/>
      <c r="M18" s="22"/>
      <c r="N18" s="46">
        <v>149</v>
      </c>
      <c r="O18" s="8">
        <f>(N18-4)/N18</f>
        <v>0.97315436241610742</v>
      </c>
      <c r="P18" s="60" t="s">
        <v>272</v>
      </c>
      <c r="Q18" s="52">
        <v>300</v>
      </c>
      <c r="R18" s="8">
        <f>(Q18-25)/Q18</f>
        <v>0.91666666666666663</v>
      </c>
      <c r="S18" s="22" t="s">
        <v>267</v>
      </c>
      <c r="T18" s="46"/>
      <c r="U18" s="8"/>
      <c r="V18" s="60" t="s">
        <v>123</v>
      </c>
      <c r="W18" s="52">
        <v>262</v>
      </c>
      <c r="X18" s="8">
        <f>(W18-135)/W18</f>
        <v>0.48473282442748089</v>
      </c>
      <c r="Y18" s="22" t="s">
        <v>273</v>
      </c>
      <c r="Z18" s="46">
        <v>89</v>
      </c>
      <c r="AA18" s="8">
        <f>(Z18-6)/Z18</f>
        <v>0.93258426966292129</v>
      </c>
      <c r="AB18" s="60" t="s">
        <v>274</v>
      </c>
      <c r="AC18" s="52">
        <v>300</v>
      </c>
      <c r="AD18" s="8">
        <f>(AC18-10)/AC18</f>
        <v>0.96666666666666667</v>
      </c>
      <c r="AE18" s="22" t="s">
        <v>267</v>
      </c>
      <c r="AF18" s="46"/>
      <c r="AG18" s="8"/>
      <c r="AH18" s="60"/>
      <c r="AI18" s="52">
        <v>300</v>
      </c>
      <c r="AJ18" s="8">
        <f>(AI18-3)/AI18</f>
        <v>0.99</v>
      </c>
      <c r="AK18" s="22" t="s">
        <v>275</v>
      </c>
      <c r="AL18" s="46">
        <v>133</v>
      </c>
      <c r="AM18" s="8">
        <f>(AL18-3)/AL18</f>
        <v>0.97744360902255634</v>
      </c>
      <c r="AN18" s="22" t="s">
        <v>276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 x14ac:dyDescent="0.45">
      <c r="A19" s="21" t="s">
        <v>277</v>
      </c>
      <c r="B19" s="33">
        <v>1819</v>
      </c>
      <c r="C19" s="10">
        <f>(B19-187)/B19</f>
        <v>0.89719626168224298</v>
      </c>
      <c r="D19" s="45" t="s">
        <v>278</v>
      </c>
      <c r="E19" s="55">
        <v>286</v>
      </c>
      <c r="F19" s="10">
        <v>0.97902097902097907</v>
      </c>
      <c r="G19" s="24" t="s">
        <v>279</v>
      </c>
      <c r="H19" s="47"/>
      <c r="I19" s="10"/>
      <c r="J19" s="62"/>
      <c r="K19" s="55"/>
      <c r="L19" s="10"/>
      <c r="M19" s="24"/>
      <c r="N19" s="47">
        <v>149</v>
      </c>
      <c r="O19" s="10">
        <f>(N19-4)/N19</f>
        <v>0.97315436241610742</v>
      </c>
      <c r="P19" s="62" t="s">
        <v>280</v>
      </c>
      <c r="Q19" s="55">
        <v>300</v>
      </c>
      <c r="R19" s="10">
        <f>(Q19-25)/Q19</f>
        <v>0.91666666666666663</v>
      </c>
      <c r="S19" s="24" t="s">
        <v>281</v>
      </c>
      <c r="T19" s="47"/>
      <c r="U19" s="10"/>
      <c r="V19" s="62" t="s">
        <v>123</v>
      </c>
      <c r="W19" s="55">
        <v>262</v>
      </c>
      <c r="X19" s="10">
        <f>(W19-135)/W19</f>
        <v>0.48473282442748089</v>
      </c>
      <c r="Y19" s="24" t="s">
        <v>282</v>
      </c>
      <c r="Z19" s="47">
        <v>89</v>
      </c>
      <c r="AA19" s="10">
        <f>(Z19-6)/Z19</f>
        <v>0.93258426966292129</v>
      </c>
      <c r="AB19" s="62" t="s">
        <v>283</v>
      </c>
      <c r="AC19" s="55">
        <v>300</v>
      </c>
      <c r="AD19" s="10">
        <f>(AC19-21)/AC19</f>
        <v>0.93</v>
      </c>
      <c r="AE19" s="24" t="s">
        <v>284</v>
      </c>
      <c r="AF19" s="47"/>
      <c r="AG19" s="10"/>
      <c r="AH19" s="62"/>
      <c r="AI19" s="55">
        <v>300</v>
      </c>
      <c r="AJ19" s="10">
        <f>(AI19-3)/AI19</f>
        <v>0.99</v>
      </c>
      <c r="AK19" s="24" t="s">
        <v>285</v>
      </c>
      <c r="AL19" s="47">
        <v>133</v>
      </c>
      <c r="AM19" s="10">
        <f>(AL19-3)/AL19</f>
        <v>0.97744360902255634</v>
      </c>
      <c r="AN19" s="24" t="s">
        <v>286</v>
      </c>
    </row>
    <row r="20" spans="1:81" s="3" customFormat="1" x14ac:dyDescent="0.45">
      <c r="A20" s="20" t="s">
        <v>287</v>
      </c>
      <c r="B20" s="31">
        <v>2875</v>
      </c>
      <c r="C20" s="8">
        <f>(B20-39)/B20</f>
        <v>0.98643478260869566</v>
      </c>
      <c r="D20" s="43" t="s">
        <v>288</v>
      </c>
      <c r="E20" s="52">
        <v>286</v>
      </c>
      <c r="F20" s="8">
        <v>1</v>
      </c>
      <c r="G20" s="22" t="s">
        <v>289</v>
      </c>
      <c r="H20" s="46">
        <v>161</v>
      </c>
      <c r="I20" s="8">
        <f>(H20-2)/H20</f>
        <v>0.98757763975155277</v>
      </c>
      <c r="J20" s="61" t="s">
        <v>290</v>
      </c>
      <c r="K20" s="54">
        <v>300</v>
      </c>
      <c r="L20" s="11">
        <f>1</f>
        <v>1</v>
      </c>
      <c r="M20" s="23" t="s">
        <v>291</v>
      </c>
      <c r="N20" s="46">
        <v>149</v>
      </c>
      <c r="O20" s="8">
        <f>1</f>
        <v>1</v>
      </c>
      <c r="P20" s="60" t="s">
        <v>292</v>
      </c>
      <c r="Q20" s="52">
        <v>300</v>
      </c>
      <c r="R20" s="8">
        <f>1</f>
        <v>1</v>
      </c>
      <c r="S20" s="22" t="s">
        <v>293</v>
      </c>
      <c r="T20" s="46">
        <v>300</v>
      </c>
      <c r="U20" s="8">
        <f>(T20-1)/T20</f>
        <v>0.9966666666666667</v>
      </c>
      <c r="V20" s="60" t="s">
        <v>294</v>
      </c>
      <c r="W20" s="52">
        <v>262</v>
      </c>
      <c r="X20" s="8">
        <f>(W20-31)/W20</f>
        <v>0.88167938931297707</v>
      </c>
      <c r="Y20" s="22" t="s">
        <v>295</v>
      </c>
      <c r="Z20" s="46">
        <v>89</v>
      </c>
      <c r="AA20" s="8">
        <f>1</f>
        <v>1</v>
      </c>
      <c r="AB20" s="60" t="s">
        <v>296</v>
      </c>
      <c r="AC20" s="52">
        <v>300</v>
      </c>
      <c r="AD20" s="8">
        <f>1</f>
        <v>1</v>
      </c>
      <c r="AE20" s="22" t="s">
        <v>297</v>
      </c>
      <c r="AF20" s="46">
        <v>300</v>
      </c>
      <c r="AG20" s="8">
        <f>1</f>
        <v>1</v>
      </c>
      <c r="AH20" s="60" t="s">
        <v>298</v>
      </c>
      <c r="AI20" s="52">
        <v>300</v>
      </c>
      <c r="AJ20" s="8">
        <f>(AI20-1)/AI20</f>
        <v>0.9966666666666667</v>
      </c>
      <c r="AK20" s="22" t="s">
        <v>299</v>
      </c>
      <c r="AL20" s="46">
        <v>133</v>
      </c>
      <c r="AM20" s="8">
        <f>(AL20-4)/AL20</f>
        <v>0.96992481203007519</v>
      </c>
      <c r="AN20" s="22" t="s">
        <v>300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 s="3" customFormat="1" ht="16.3" thickBot="1" x14ac:dyDescent="0.5">
      <c r="A21" s="20" t="s">
        <v>82</v>
      </c>
      <c r="B21" s="31">
        <v>2575</v>
      </c>
      <c r="C21" s="8">
        <f>(B21-99)/B21</f>
        <v>0.96155339805825246</v>
      </c>
      <c r="D21" s="43" t="s">
        <v>301</v>
      </c>
      <c r="E21" s="56">
        <v>286</v>
      </c>
      <c r="F21" s="57">
        <v>1</v>
      </c>
      <c r="G21" s="58" t="s">
        <v>302</v>
      </c>
      <c r="H21" s="46">
        <v>161</v>
      </c>
      <c r="I21" s="8">
        <f>(H21-10)/H21</f>
        <v>0.93788819875776397</v>
      </c>
      <c r="J21" s="61" t="s">
        <v>303</v>
      </c>
      <c r="K21" s="54">
        <v>300</v>
      </c>
      <c r="L21" s="11">
        <f>1</f>
        <v>1</v>
      </c>
      <c r="M21" s="23" t="s">
        <v>304</v>
      </c>
      <c r="N21" s="46">
        <v>149</v>
      </c>
      <c r="O21" s="8">
        <f>1</f>
        <v>1</v>
      </c>
      <c r="P21" s="60" t="s">
        <v>296</v>
      </c>
      <c r="Q21" s="52">
        <v>300</v>
      </c>
      <c r="R21" s="8">
        <f>(Q21-6)/Q21</f>
        <v>0.98</v>
      </c>
      <c r="S21" s="22" t="s">
        <v>270</v>
      </c>
      <c r="T21" s="46"/>
      <c r="U21" s="8"/>
      <c r="V21" s="60" t="s">
        <v>123</v>
      </c>
      <c r="W21" s="52">
        <v>262</v>
      </c>
      <c r="X21" s="8">
        <f>(W21-59)/W21</f>
        <v>0.77480916030534353</v>
      </c>
      <c r="Y21" s="22" t="s">
        <v>305</v>
      </c>
      <c r="Z21" s="46">
        <v>89</v>
      </c>
      <c r="AA21" s="8">
        <f>1</f>
        <v>1</v>
      </c>
      <c r="AB21" s="60" t="s">
        <v>306</v>
      </c>
      <c r="AC21" s="52">
        <v>300</v>
      </c>
      <c r="AD21" s="8">
        <f>1</f>
        <v>1</v>
      </c>
      <c r="AE21" s="22" t="s">
        <v>307</v>
      </c>
      <c r="AF21" s="46">
        <v>300</v>
      </c>
      <c r="AG21" s="8">
        <f>(AF21-1)/AF21</f>
        <v>0.9966666666666667</v>
      </c>
      <c r="AH21" s="60" t="s">
        <v>308</v>
      </c>
      <c r="AI21" s="52">
        <v>300</v>
      </c>
      <c r="AJ21" s="8">
        <f>(AI21-3)/AI21</f>
        <v>0.99</v>
      </c>
      <c r="AK21" s="22" t="s">
        <v>282</v>
      </c>
      <c r="AL21" s="46">
        <v>133</v>
      </c>
      <c r="AM21" s="8">
        <f>(AL21-20)/AL21</f>
        <v>0.84962406015037595</v>
      </c>
      <c r="AN21" s="22" t="s">
        <v>267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 ht="16.3" thickBot="1" x14ac:dyDescent="0.5">
      <c r="A22" s="29" t="s">
        <v>309</v>
      </c>
      <c r="B22" s="34">
        <v>2575</v>
      </c>
      <c r="C22" s="25">
        <f>(B22-99)/B22</f>
        <v>0.96155339805825246</v>
      </c>
      <c r="D22" s="26" t="s">
        <v>310</v>
      </c>
      <c r="E22" s="48">
        <v>286</v>
      </c>
      <c r="F22" s="49">
        <v>1</v>
      </c>
      <c r="G22" s="50" t="s">
        <v>311</v>
      </c>
      <c r="H22" s="35">
        <v>161</v>
      </c>
      <c r="I22" s="25">
        <f>(H22-10)/H22</f>
        <v>0.93788819875776397</v>
      </c>
      <c r="J22" s="63" t="s">
        <v>312</v>
      </c>
      <c r="K22" s="65">
        <v>300</v>
      </c>
      <c r="L22" s="25">
        <f>1</f>
        <v>1</v>
      </c>
      <c r="M22" s="27" t="s">
        <v>313</v>
      </c>
      <c r="N22" s="64">
        <v>149</v>
      </c>
      <c r="O22" s="25">
        <f>1</f>
        <v>1</v>
      </c>
      <c r="P22" s="63" t="s">
        <v>314</v>
      </c>
      <c r="Q22" s="65">
        <v>300</v>
      </c>
      <c r="R22" s="25">
        <f>(Q22-6)/Q22</f>
        <v>0.98</v>
      </c>
      <c r="S22" s="27" t="s">
        <v>315</v>
      </c>
      <c r="T22" s="64"/>
      <c r="U22" s="25"/>
      <c r="V22" s="63" t="s">
        <v>123</v>
      </c>
      <c r="W22" s="65">
        <v>262</v>
      </c>
      <c r="X22" s="25">
        <f>(W22-59)/W22</f>
        <v>0.77480916030534353</v>
      </c>
      <c r="Y22" s="27" t="s">
        <v>316</v>
      </c>
      <c r="Z22" s="64">
        <v>89</v>
      </c>
      <c r="AA22" s="25">
        <f>1</f>
        <v>1</v>
      </c>
      <c r="AB22" s="63" t="s">
        <v>317</v>
      </c>
      <c r="AC22" s="65">
        <v>300</v>
      </c>
      <c r="AD22" s="25">
        <f>1</f>
        <v>1</v>
      </c>
      <c r="AE22" s="27" t="s">
        <v>318</v>
      </c>
      <c r="AF22" s="64">
        <v>300</v>
      </c>
      <c r="AG22" s="25">
        <f>(AF22-1)/AF22</f>
        <v>0.9966666666666667</v>
      </c>
      <c r="AH22" s="63" t="s">
        <v>319</v>
      </c>
      <c r="AI22" s="65">
        <v>300</v>
      </c>
      <c r="AJ22" s="25">
        <f>(AI22-3)/AI22</f>
        <v>0.99</v>
      </c>
      <c r="AK22" s="27" t="s">
        <v>320</v>
      </c>
      <c r="AL22" s="64">
        <v>133</v>
      </c>
      <c r="AM22" s="25">
        <f>(AL22-20)/AL22</f>
        <v>0.84962406015037595</v>
      </c>
      <c r="AN22" s="27" t="s">
        <v>321</v>
      </c>
    </row>
    <row r="24" spans="1:81" ht="187.5" customHeight="1" x14ac:dyDescent="0.45">
      <c r="B24" s="99" t="s">
        <v>517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</row>
  </sheetData>
  <mergeCells count="15">
    <mergeCell ref="A1:AN1"/>
    <mergeCell ref="B24:AO24"/>
    <mergeCell ref="T3:V3"/>
    <mergeCell ref="E3:G3"/>
    <mergeCell ref="H3:J3"/>
    <mergeCell ref="K3:M3"/>
    <mergeCell ref="N3:P3"/>
    <mergeCell ref="Q3:S3"/>
    <mergeCell ref="W3:Y3"/>
    <mergeCell ref="Z3:AB3"/>
    <mergeCell ref="AC3:AE3"/>
    <mergeCell ref="AF3:AH3"/>
    <mergeCell ref="AI3:AK3"/>
    <mergeCell ref="AL3:AN3"/>
    <mergeCell ref="B3:D3"/>
  </mergeCells>
  <pageMargins left="0.7" right="0.7" top="0.75" bottom="0.75" header="0.3" footer="0.3"/>
  <pageSetup paperSize="9" orientation="portrait" r:id="rId1"/>
  <ignoredErrors>
    <ignoredError sqref="C15 I15 O9 O13 R15 U9 U13 X15 AA13 AD15 AD18 AJ13 AJ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5E5A-8B98-4612-A178-AEA6749E8D27}">
  <dimension ref="A1:CD25"/>
  <sheetViews>
    <sheetView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3" sqref="B23:AH23"/>
    </sheetView>
  </sheetViews>
  <sheetFormatPr baseColWidth="10" defaultColWidth="9.15234375" defaultRowHeight="14.6" x14ac:dyDescent="0.4"/>
  <cols>
    <col min="1" max="1" width="16.53515625" customWidth="1"/>
    <col min="2" max="2" width="9.53515625" style="5" customWidth="1"/>
    <col min="3" max="3" width="8.53515625" customWidth="1"/>
    <col min="4" max="4" width="14.3828125" customWidth="1"/>
    <col min="5" max="5" width="7" style="5" customWidth="1"/>
    <col min="6" max="6" width="9.15234375" style="5" customWidth="1"/>
    <col min="7" max="7" width="14.3046875" customWidth="1"/>
    <col min="8" max="8" width="6.53515625" style="5" customWidth="1"/>
    <col min="9" max="9" width="9.15234375" style="5" customWidth="1"/>
    <col min="10" max="10" width="14.3046875" customWidth="1"/>
    <col min="11" max="11" width="5.3046875" style="5" customWidth="1"/>
    <col min="12" max="12" width="9.15234375" style="5" customWidth="1"/>
    <col min="13" max="13" width="14.3046875" customWidth="1"/>
    <col min="14" max="14" width="4.53515625" style="5" customWidth="1"/>
    <col min="15" max="15" width="9.15234375" style="5" customWidth="1"/>
    <col min="16" max="16" width="14.3046875" customWidth="1"/>
    <col min="17" max="17" width="6.3046875" style="5" customWidth="1"/>
    <col min="18" max="18" width="9.15234375" style="5" customWidth="1"/>
    <col min="19" max="19" width="14.3046875" customWidth="1"/>
    <col min="20" max="20" width="5.15234375" style="5" customWidth="1"/>
    <col min="21" max="21" width="8.15234375" style="5" customWidth="1"/>
    <col min="22" max="22" width="14.3046875" customWidth="1"/>
    <col min="23" max="23" width="5" style="5" customWidth="1"/>
    <col min="24" max="24" width="10.53515625" style="5" customWidth="1"/>
    <col min="25" max="25" width="14.3046875" customWidth="1"/>
    <col min="26" max="26" width="5.3828125" style="5" customWidth="1"/>
    <col min="27" max="27" width="11.53515625" style="5" customWidth="1"/>
    <col min="28" max="28" width="14.3046875" customWidth="1"/>
    <col min="29" max="29" width="4.84375" style="5" customWidth="1"/>
    <col min="30" max="30" width="11.15234375" style="5" customWidth="1"/>
    <col min="31" max="31" width="14.3046875" customWidth="1"/>
    <col min="32" max="32" width="6.3046875" style="5" customWidth="1"/>
    <col min="33" max="33" width="12.15234375" style="5" customWidth="1"/>
    <col min="34" max="34" width="14.3046875" customWidth="1"/>
  </cols>
  <sheetData>
    <row r="1" spans="1:40" ht="17.5" customHeight="1" x14ac:dyDescent="0.4">
      <c r="A1" s="115" t="s">
        <v>322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</row>
    <row r="2" spans="1:40" s="16" customFormat="1" ht="20.149999999999999" customHeight="1" thickBot="1" x14ac:dyDescent="0.45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5"/>
      <c r="AJ2" s="15"/>
      <c r="AK2" s="15"/>
      <c r="AL2" s="15"/>
      <c r="AM2" s="15"/>
      <c r="AN2" s="15"/>
    </row>
    <row r="3" spans="1:40" s="5" customFormat="1" ht="22.5" customHeight="1" x14ac:dyDescent="0.45">
      <c r="A3" s="19" t="s">
        <v>88</v>
      </c>
      <c r="B3" s="121" t="s">
        <v>323</v>
      </c>
      <c r="C3" s="121"/>
      <c r="D3" s="121"/>
      <c r="E3" s="116" t="s">
        <v>324</v>
      </c>
      <c r="F3" s="117"/>
      <c r="G3" s="118"/>
      <c r="H3" s="121" t="s">
        <v>325</v>
      </c>
      <c r="I3" s="121"/>
      <c r="J3" s="121"/>
      <c r="K3" s="116" t="s">
        <v>326</v>
      </c>
      <c r="L3" s="117"/>
      <c r="M3" s="118"/>
      <c r="N3" s="116" t="s">
        <v>327</v>
      </c>
      <c r="O3" s="117"/>
      <c r="P3" s="118"/>
      <c r="Q3" s="119" t="s">
        <v>328</v>
      </c>
      <c r="R3" s="117"/>
      <c r="S3" s="120"/>
      <c r="T3" s="116" t="s">
        <v>329</v>
      </c>
      <c r="U3" s="117"/>
      <c r="V3" s="118"/>
      <c r="W3" s="119" t="s">
        <v>330</v>
      </c>
      <c r="X3" s="117"/>
      <c r="Y3" s="120"/>
      <c r="Z3" s="116" t="s">
        <v>331</v>
      </c>
      <c r="AA3" s="117"/>
      <c r="AB3" s="118"/>
      <c r="AC3" s="119" t="s">
        <v>332</v>
      </c>
      <c r="AD3" s="117"/>
      <c r="AE3" s="120"/>
      <c r="AF3" s="116" t="s">
        <v>333</v>
      </c>
      <c r="AG3" s="117"/>
      <c r="AH3" s="118"/>
    </row>
    <row r="4" spans="1:40" s="12" customFormat="1" ht="24" customHeight="1" thickBot="1" x14ac:dyDescent="0.5">
      <c r="A4" s="74"/>
      <c r="B4" s="75" t="s">
        <v>334</v>
      </c>
      <c r="C4" s="76" t="s">
        <v>103</v>
      </c>
      <c r="D4" s="78" t="s">
        <v>104</v>
      </c>
      <c r="E4" s="85" t="s">
        <v>102</v>
      </c>
      <c r="F4" s="76" t="s">
        <v>103</v>
      </c>
      <c r="G4" s="77" t="s">
        <v>104</v>
      </c>
      <c r="H4" s="75" t="s">
        <v>102</v>
      </c>
      <c r="I4" s="76" t="s">
        <v>103</v>
      </c>
      <c r="J4" s="78" t="s">
        <v>104</v>
      </c>
      <c r="K4" s="85" t="s">
        <v>102</v>
      </c>
      <c r="L4" s="76" t="s">
        <v>103</v>
      </c>
      <c r="M4" s="77" t="s">
        <v>104</v>
      </c>
      <c r="N4" s="85" t="s">
        <v>102</v>
      </c>
      <c r="O4" s="76" t="s">
        <v>103</v>
      </c>
      <c r="P4" s="77" t="s">
        <v>104</v>
      </c>
      <c r="Q4" s="75" t="s">
        <v>102</v>
      </c>
      <c r="R4" s="76" t="s">
        <v>103</v>
      </c>
      <c r="S4" s="78" t="s">
        <v>104</v>
      </c>
      <c r="T4" s="85" t="s">
        <v>102</v>
      </c>
      <c r="U4" s="76" t="s">
        <v>103</v>
      </c>
      <c r="V4" s="77" t="s">
        <v>104</v>
      </c>
      <c r="W4" s="75" t="s">
        <v>102</v>
      </c>
      <c r="X4" s="76" t="s">
        <v>103</v>
      </c>
      <c r="Y4" s="78" t="s">
        <v>104</v>
      </c>
      <c r="Z4" s="85" t="s">
        <v>102</v>
      </c>
      <c r="AA4" s="76" t="s">
        <v>103</v>
      </c>
      <c r="AB4" s="77" t="s">
        <v>104</v>
      </c>
      <c r="AC4" s="75" t="s">
        <v>102</v>
      </c>
      <c r="AD4" s="76" t="s">
        <v>103</v>
      </c>
      <c r="AE4" s="78" t="s">
        <v>104</v>
      </c>
      <c r="AF4" s="85" t="s">
        <v>102</v>
      </c>
      <c r="AG4" s="76" t="s">
        <v>103</v>
      </c>
      <c r="AH4" s="77" t="s">
        <v>104</v>
      </c>
    </row>
    <row r="5" spans="1:40" x14ac:dyDescent="0.4">
      <c r="A5" s="70" t="s">
        <v>12</v>
      </c>
      <c r="B5" s="71">
        <v>2499</v>
      </c>
      <c r="C5" s="72">
        <f>1</f>
        <v>1</v>
      </c>
      <c r="D5" s="79" t="s">
        <v>335</v>
      </c>
      <c r="E5" s="86">
        <v>304</v>
      </c>
      <c r="F5" s="72">
        <f>1</f>
        <v>1</v>
      </c>
      <c r="G5" s="73" t="s">
        <v>336</v>
      </c>
      <c r="H5" s="81">
        <v>150</v>
      </c>
      <c r="I5" s="72">
        <f>1</f>
        <v>1</v>
      </c>
      <c r="J5" s="79" t="s">
        <v>337</v>
      </c>
      <c r="K5" s="86">
        <v>300</v>
      </c>
      <c r="L5" s="72">
        <f>1</f>
        <v>1</v>
      </c>
      <c r="M5" s="73" t="s">
        <v>338</v>
      </c>
      <c r="N5" s="86">
        <v>96</v>
      </c>
      <c r="O5" s="72">
        <f>1</f>
        <v>1</v>
      </c>
      <c r="P5" s="73" t="s">
        <v>339</v>
      </c>
      <c r="Q5" s="81">
        <v>300</v>
      </c>
      <c r="R5" s="72">
        <f>1</f>
        <v>1</v>
      </c>
      <c r="S5" s="79" t="s">
        <v>340</v>
      </c>
      <c r="T5" s="86">
        <v>281</v>
      </c>
      <c r="U5" s="72">
        <f>1</f>
        <v>1</v>
      </c>
      <c r="V5" s="73" t="s">
        <v>341</v>
      </c>
      <c r="W5" s="81">
        <v>181</v>
      </c>
      <c r="X5" s="72">
        <f>1</f>
        <v>1</v>
      </c>
      <c r="Y5" s="79" t="s">
        <v>342</v>
      </c>
      <c r="Z5" s="86">
        <v>287</v>
      </c>
      <c r="AA5" s="72">
        <f>1</f>
        <v>1</v>
      </c>
      <c r="AB5" s="73" t="s">
        <v>343</v>
      </c>
      <c r="AC5" s="81">
        <v>300</v>
      </c>
      <c r="AD5" s="72">
        <f>1</f>
        <v>1</v>
      </c>
      <c r="AE5" s="79" t="s">
        <v>344</v>
      </c>
      <c r="AF5" s="86">
        <v>300</v>
      </c>
      <c r="AG5" s="72">
        <f>1</f>
        <v>1</v>
      </c>
      <c r="AH5" s="73" t="s">
        <v>345</v>
      </c>
    </row>
    <row r="6" spans="1:40" x14ac:dyDescent="0.4">
      <c r="A6" s="20" t="s">
        <v>18</v>
      </c>
      <c r="B6" s="17">
        <v>1918</v>
      </c>
      <c r="C6" s="8">
        <f>(B6-4)/B6</f>
        <v>0.99791449426485923</v>
      </c>
      <c r="D6" s="43" t="s">
        <v>346</v>
      </c>
      <c r="E6" s="87">
        <v>304</v>
      </c>
      <c r="F6" s="8">
        <f>1</f>
        <v>1</v>
      </c>
      <c r="G6" s="67" t="s">
        <v>347</v>
      </c>
      <c r="H6" s="82">
        <v>150</v>
      </c>
      <c r="I6" s="8">
        <f>1</f>
        <v>1</v>
      </c>
      <c r="J6" s="43" t="s">
        <v>348</v>
      </c>
      <c r="K6" s="87">
        <v>300</v>
      </c>
      <c r="L6" s="8">
        <f>(K6-1)/K6</f>
        <v>0.9966666666666667</v>
      </c>
      <c r="M6" s="67" t="s">
        <v>349</v>
      </c>
      <c r="N6" s="87">
        <v>96</v>
      </c>
      <c r="O6" s="8">
        <f>1</f>
        <v>1</v>
      </c>
      <c r="P6" s="67" t="s">
        <v>350</v>
      </c>
      <c r="Q6" s="82"/>
      <c r="R6" s="8"/>
      <c r="S6" s="43" t="s">
        <v>123</v>
      </c>
      <c r="T6" s="87"/>
      <c r="U6" s="8"/>
      <c r="V6" s="67" t="s">
        <v>123</v>
      </c>
      <c r="W6" s="82">
        <v>181</v>
      </c>
      <c r="X6" s="8">
        <f>1</f>
        <v>1</v>
      </c>
      <c r="Y6" s="43" t="s">
        <v>351</v>
      </c>
      <c r="Z6" s="87">
        <v>287</v>
      </c>
      <c r="AA6" s="8">
        <f>(Z6-2)/Z6</f>
        <v>0.99303135888501737</v>
      </c>
      <c r="AB6" s="67" t="s">
        <v>352</v>
      </c>
      <c r="AC6" s="82">
        <v>300</v>
      </c>
      <c r="AD6" s="8">
        <f>1</f>
        <v>1</v>
      </c>
      <c r="AE6" s="43" t="s">
        <v>353</v>
      </c>
      <c r="AF6" s="87">
        <v>300</v>
      </c>
      <c r="AG6" s="8">
        <f>1</f>
        <v>1</v>
      </c>
      <c r="AH6" s="67" t="s">
        <v>354</v>
      </c>
    </row>
    <row r="7" spans="1:40" x14ac:dyDescent="0.4">
      <c r="A7" s="20" t="s">
        <v>24</v>
      </c>
      <c r="B7" s="17">
        <v>2199</v>
      </c>
      <c r="C7" s="8">
        <f>(B7-3)/B7</f>
        <v>0.99863574351978168</v>
      </c>
      <c r="D7" s="43" t="s">
        <v>355</v>
      </c>
      <c r="E7" s="87">
        <v>304</v>
      </c>
      <c r="F7" s="8">
        <f>1</f>
        <v>1</v>
      </c>
      <c r="G7" s="67" t="s">
        <v>356</v>
      </c>
      <c r="H7" s="82">
        <v>150</v>
      </c>
      <c r="I7" s="8">
        <f>1</f>
        <v>1</v>
      </c>
      <c r="J7" s="43" t="s">
        <v>357</v>
      </c>
      <c r="K7" s="87">
        <v>300</v>
      </c>
      <c r="L7" s="8">
        <f>(K7-1)/K7</f>
        <v>0.9966666666666667</v>
      </c>
      <c r="M7" s="67" t="s">
        <v>358</v>
      </c>
      <c r="N7" s="87">
        <v>96</v>
      </c>
      <c r="O7" s="8">
        <f>1</f>
        <v>1</v>
      </c>
      <c r="P7" s="67" t="s">
        <v>359</v>
      </c>
      <c r="Q7" s="82"/>
      <c r="R7" s="8"/>
      <c r="S7" s="43" t="s">
        <v>123</v>
      </c>
      <c r="T7" s="87">
        <v>281</v>
      </c>
      <c r="U7" s="8">
        <f>1</f>
        <v>1</v>
      </c>
      <c r="V7" s="67" t="s">
        <v>360</v>
      </c>
      <c r="W7" s="82">
        <v>181</v>
      </c>
      <c r="X7" s="8">
        <f>1</f>
        <v>1</v>
      </c>
      <c r="Y7" s="43" t="s">
        <v>361</v>
      </c>
      <c r="Z7" s="87">
        <v>287</v>
      </c>
      <c r="AA7" s="8">
        <f>(Z7-3)/Z7</f>
        <v>0.98954703832752611</v>
      </c>
      <c r="AB7" s="67" t="s">
        <v>362</v>
      </c>
      <c r="AC7" s="82">
        <v>300</v>
      </c>
      <c r="AD7" s="8">
        <f>1</f>
        <v>1</v>
      </c>
      <c r="AE7" s="43" t="s">
        <v>363</v>
      </c>
      <c r="AF7" s="87">
        <v>300</v>
      </c>
      <c r="AG7" s="8">
        <f>1</f>
        <v>1</v>
      </c>
      <c r="AH7" s="67" t="s">
        <v>364</v>
      </c>
    </row>
    <row r="8" spans="1:40" x14ac:dyDescent="0.4">
      <c r="A8" s="20" t="s">
        <v>30</v>
      </c>
      <c r="B8" s="17">
        <v>2499</v>
      </c>
      <c r="C8" s="8">
        <f>(B8-72)/B8</f>
        <v>0.97118847539015607</v>
      </c>
      <c r="D8" s="43" t="s">
        <v>365</v>
      </c>
      <c r="E8" s="87">
        <v>304</v>
      </c>
      <c r="F8" s="8">
        <f>(E8-3)/E8</f>
        <v>0.99013157894736847</v>
      </c>
      <c r="G8" s="67" t="s">
        <v>366</v>
      </c>
      <c r="H8" s="82">
        <v>150</v>
      </c>
      <c r="I8" s="8">
        <f>(H8-6)/H8</f>
        <v>0.96</v>
      </c>
      <c r="J8" s="43" t="s">
        <v>367</v>
      </c>
      <c r="K8" s="87">
        <v>300</v>
      </c>
      <c r="L8" s="8">
        <f>(K8-11)/K8</f>
        <v>0.96333333333333337</v>
      </c>
      <c r="M8" s="67" t="s">
        <v>368</v>
      </c>
      <c r="N8" s="87">
        <v>96</v>
      </c>
      <c r="O8" s="8">
        <f>1</f>
        <v>1</v>
      </c>
      <c r="P8" s="67" t="s">
        <v>369</v>
      </c>
      <c r="Q8" s="82">
        <v>300</v>
      </c>
      <c r="R8" s="8">
        <f>(Q8-1)/Q8</f>
        <v>0.9966666666666667</v>
      </c>
      <c r="S8" s="43" t="s">
        <v>370</v>
      </c>
      <c r="T8" s="87">
        <v>281</v>
      </c>
      <c r="U8" s="8">
        <f>(T8-21)/T8</f>
        <v>0.92526690391459077</v>
      </c>
      <c r="V8" s="67" t="s">
        <v>371</v>
      </c>
      <c r="W8" s="82">
        <v>181</v>
      </c>
      <c r="X8" s="8">
        <f>1</f>
        <v>1</v>
      </c>
      <c r="Y8" s="43" t="s">
        <v>372</v>
      </c>
      <c r="Z8" s="87">
        <v>287</v>
      </c>
      <c r="AA8" s="8">
        <f>(Z8-24)/Z8</f>
        <v>0.91637630662020908</v>
      </c>
      <c r="AB8" s="67" t="s">
        <v>373</v>
      </c>
      <c r="AC8" s="82">
        <v>300</v>
      </c>
      <c r="AD8" s="8">
        <f>(AC8-1)/AC8</f>
        <v>0.9966666666666667</v>
      </c>
      <c r="AE8" s="43" t="s">
        <v>374</v>
      </c>
      <c r="AF8" s="87">
        <v>300</v>
      </c>
      <c r="AG8" s="8">
        <f>(AF8-5)/AF8</f>
        <v>0.98333333333333328</v>
      </c>
      <c r="AH8" s="67" t="s">
        <v>375</v>
      </c>
    </row>
    <row r="9" spans="1:40" x14ac:dyDescent="0.4">
      <c r="A9" s="20" t="s">
        <v>35</v>
      </c>
      <c r="B9" s="17">
        <v>2499</v>
      </c>
      <c r="C9" s="8">
        <f>(B9-168)/B9</f>
        <v>0.9327731092436975</v>
      </c>
      <c r="D9" s="43" t="s">
        <v>376</v>
      </c>
      <c r="E9" s="87">
        <v>304</v>
      </c>
      <c r="F9" s="8">
        <f>(E9-8)/E9</f>
        <v>0.97368421052631582</v>
      </c>
      <c r="G9" s="67" t="s">
        <v>377</v>
      </c>
      <c r="H9" s="82">
        <v>150</v>
      </c>
      <c r="I9" s="8">
        <f>(H9-2)/H9</f>
        <v>0.98666666666666669</v>
      </c>
      <c r="J9" s="43" t="s">
        <v>378</v>
      </c>
      <c r="K9" s="87">
        <v>300</v>
      </c>
      <c r="L9" s="8">
        <f>(K9-8)/K9</f>
        <v>0.97333333333333338</v>
      </c>
      <c r="M9" s="67" t="s">
        <v>379</v>
      </c>
      <c r="N9" s="87">
        <v>96</v>
      </c>
      <c r="O9" s="8">
        <f>(N9-4)/N9</f>
        <v>0.95833333333333337</v>
      </c>
      <c r="P9" s="67" t="s">
        <v>380</v>
      </c>
      <c r="Q9" s="82">
        <v>300</v>
      </c>
      <c r="R9" s="8">
        <f>(Q9-6)/Q9</f>
        <v>0.98</v>
      </c>
      <c r="S9" s="43" t="s">
        <v>381</v>
      </c>
      <c r="T9" s="87">
        <v>281</v>
      </c>
      <c r="U9" s="8">
        <f>(T9-10)/T9</f>
        <v>0.96441281138790036</v>
      </c>
      <c r="V9" s="67" t="s">
        <v>382</v>
      </c>
      <c r="W9" s="82">
        <v>181</v>
      </c>
      <c r="X9" s="8">
        <f>(W9-28)/W9</f>
        <v>0.84530386740331487</v>
      </c>
      <c r="Y9" s="43" t="s">
        <v>383</v>
      </c>
      <c r="Z9" s="87">
        <v>287</v>
      </c>
      <c r="AA9" s="8">
        <f>(Z9-6)/Z9</f>
        <v>0.97909407665505221</v>
      </c>
      <c r="AB9" s="67" t="s">
        <v>384</v>
      </c>
      <c r="AC9" s="82">
        <v>300</v>
      </c>
      <c r="AD9" s="8">
        <f>(AC9-40)/AC9</f>
        <v>0.8666666666666667</v>
      </c>
      <c r="AE9" s="43" t="s">
        <v>385</v>
      </c>
      <c r="AF9" s="87">
        <v>300</v>
      </c>
      <c r="AG9" s="8">
        <f>(AF9-56)/AF9</f>
        <v>0.81333333333333335</v>
      </c>
      <c r="AH9" s="67" t="s">
        <v>386</v>
      </c>
    </row>
    <row r="10" spans="1:40" x14ac:dyDescent="0.4">
      <c r="A10" s="20" t="s">
        <v>169</v>
      </c>
      <c r="B10" s="17">
        <v>2499</v>
      </c>
      <c r="C10" s="8">
        <f>(B10-2)/B10</f>
        <v>0.9991996798719488</v>
      </c>
      <c r="D10" s="43" t="s">
        <v>387</v>
      </c>
      <c r="E10" s="87">
        <v>304</v>
      </c>
      <c r="F10" s="8">
        <f>1</f>
        <v>1</v>
      </c>
      <c r="G10" s="67" t="s">
        <v>388</v>
      </c>
      <c r="H10" s="82">
        <v>150</v>
      </c>
      <c r="I10" s="8">
        <f>1</f>
        <v>1</v>
      </c>
      <c r="J10" s="43" t="s">
        <v>389</v>
      </c>
      <c r="K10" s="87">
        <v>300</v>
      </c>
      <c r="L10" s="8">
        <f>1</f>
        <v>1</v>
      </c>
      <c r="M10" s="67" t="s">
        <v>390</v>
      </c>
      <c r="N10" s="87">
        <v>96</v>
      </c>
      <c r="O10" s="8">
        <f>1</f>
        <v>1</v>
      </c>
      <c r="P10" s="67" t="s">
        <v>391</v>
      </c>
      <c r="Q10" s="82">
        <v>300</v>
      </c>
      <c r="R10" s="8">
        <f>1</f>
        <v>1</v>
      </c>
      <c r="S10" s="43" t="s">
        <v>392</v>
      </c>
      <c r="T10" s="87">
        <v>281</v>
      </c>
      <c r="U10" s="8">
        <f>1</f>
        <v>1</v>
      </c>
      <c r="V10" s="67" t="s">
        <v>393</v>
      </c>
      <c r="W10" s="82">
        <v>181</v>
      </c>
      <c r="X10" s="8">
        <f>1</f>
        <v>1</v>
      </c>
      <c r="Y10" s="43" t="s">
        <v>394</v>
      </c>
      <c r="Z10" s="87">
        <v>287</v>
      </c>
      <c r="AA10" s="8">
        <f>(Z10-1)/Z10</f>
        <v>0.99651567944250874</v>
      </c>
      <c r="AB10" s="67" t="s">
        <v>395</v>
      </c>
      <c r="AC10" s="82">
        <v>300</v>
      </c>
      <c r="AD10" s="8">
        <f>(AC10-0)/AC10</f>
        <v>1</v>
      </c>
      <c r="AE10" s="43" t="s">
        <v>396</v>
      </c>
      <c r="AF10" s="87">
        <v>300</v>
      </c>
      <c r="AG10" s="8">
        <f>(AF10-1)/AF10</f>
        <v>0.9966666666666667</v>
      </c>
      <c r="AH10" s="67" t="s">
        <v>397</v>
      </c>
    </row>
    <row r="11" spans="1:40" x14ac:dyDescent="0.4">
      <c r="A11" s="20" t="s">
        <v>183</v>
      </c>
      <c r="B11" s="17">
        <v>2498</v>
      </c>
      <c r="C11" s="8">
        <f>(B11-2)/B11</f>
        <v>0.99919935948759009</v>
      </c>
      <c r="D11" s="43" t="s">
        <v>398</v>
      </c>
      <c r="E11" s="87">
        <v>304</v>
      </c>
      <c r="F11" s="8">
        <f>1</f>
        <v>1</v>
      </c>
      <c r="G11" s="67" t="s">
        <v>399</v>
      </c>
      <c r="H11" s="82">
        <v>150</v>
      </c>
      <c r="I11" s="8">
        <f>1</f>
        <v>1</v>
      </c>
      <c r="J11" s="43" t="s">
        <v>400</v>
      </c>
      <c r="K11" s="87">
        <v>300</v>
      </c>
      <c r="L11" s="8">
        <f>1</f>
        <v>1</v>
      </c>
      <c r="M11" s="67" t="s">
        <v>401</v>
      </c>
      <c r="N11" s="87">
        <v>96</v>
      </c>
      <c r="O11" s="8">
        <f>1</f>
        <v>1</v>
      </c>
      <c r="P11" s="67" t="s">
        <v>402</v>
      </c>
      <c r="Q11" s="82">
        <v>300</v>
      </c>
      <c r="R11" s="8">
        <f>1</f>
        <v>1</v>
      </c>
      <c r="S11" s="43" t="s">
        <v>403</v>
      </c>
      <c r="T11" s="87">
        <v>281</v>
      </c>
      <c r="U11" s="8">
        <f>1</f>
        <v>1</v>
      </c>
      <c r="V11" s="67" t="s">
        <v>404</v>
      </c>
      <c r="W11" s="82">
        <v>181</v>
      </c>
      <c r="X11" s="8">
        <f>1</f>
        <v>1</v>
      </c>
      <c r="Y11" s="43" t="s">
        <v>405</v>
      </c>
      <c r="Z11" s="87">
        <v>287</v>
      </c>
      <c r="AA11" s="8">
        <f>(Z11-2)/Z11</f>
        <v>0.99303135888501737</v>
      </c>
      <c r="AB11" s="67" t="s">
        <v>406</v>
      </c>
      <c r="AC11" s="82">
        <v>299</v>
      </c>
      <c r="AD11" s="8">
        <f t="shared" ref="AD11:AD12" si="0">(AC11-0)/AC11</f>
        <v>1</v>
      </c>
      <c r="AE11" s="43" t="s">
        <v>407</v>
      </c>
      <c r="AF11" s="87">
        <v>300</v>
      </c>
      <c r="AG11" s="8">
        <f>(AF11-2)/AF11</f>
        <v>0.99333333333333329</v>
      </c>
      <c r="AH11" s="67" t="s">
        <v>408</v>
      </c>
    </row>
    <row r="12" spans="1:40" x14ac:dyDescent="0.4">
      <c r="A12" s="20" t="s">
        <v>197</v>
      </c>
      <c r="B12" s="17">
        <v>2499</v>
      </c>
      <c r="C12" s="8">
        <f>(B12-2)/B12</f>
        <v>0.9991996798719488</v>
      </c>
      <c r="D12" s="43" t="s">
        <v>409</v>
      </c>
      <c r="E12" s="87">
        <v>304</v>
      </c>
      <c r="F12" s="8">
        <f>1</f>
        <v>1</v>
      </c>
      <c r="G12" s="67" t="s">
        <v>410</v>
      </c>
      <c r="H12" s="82">
        <v>150</v>
      </c>
      <c r="I12" s="8">
        <f>1</f>
        <v>1</v>
      </c>
      <c r="J12" s="43" t="s">
        <v>411</v>
      </c>
      <c r="K12" s="87">
        <v>300</v>
      </c>
      <c r="L12" s="8">
        <f>1</f>
        <v>1</v>
      </c>
      <c r="M12" s="67" t="s">
        <v>412</v>
      </c>
      <c r="N12" s="87">
        <v>96</v>
      </c>
      <c r="O12" s="8">
        <f>1</f>
        <v>1</v>
      </c>
      <c r="P12" s="67" t="s">
        <v>413</v>
      </c>
      <c r="Q12" s="82">
        <v>300</v>
      </c>
      <c r="R12" s="8">
        <f>1</f>
        <v>1</v>
      </c>
      <c r="S12" s="43" t="s">
        <v>414</v>
      </c>
      <c r="T12" s="87">
        <v>281</v>
      </c>
      <c r="U12" s="8">
        <f>1</f>
        <v>1</v>
      </c>
      <c r="V12" s="67" t="s">
        <v>415</v>
      </c>
      <c r="W12" s="82">
        <v>181</v>
      </c>
      <c r="X12" s="8">
        <f>1</f>
        <v>1</v>
      </c>
      <c r="Y12" s="43" t="s">
        <v>416</v>
      </c>
      <c r="Z12" s="87">
        <v>287</v>
      </c>
      <c r="AA12" s="8">
        <f>(Z12-1)/Z12</f>
        <v>0.99651567944250874</v>
      </c>
      <c r="AB12" s="67" t="s">
        <v>417</v>
      </c>
      <c r="AC12" s="82">
        <v>300</v>
      </c>
      <c r="AD12" s="8">
        <f t="shared" si="0"/>
        <v>1</v>
      </c>
      <c r="AE12" s="43" t="s">
        <v>418</v>
      </c>
      <c r="AF12" s="87">
        <v>300</v>
      </c>
      <c r="AG12" s="8">
        <f t="shared" ref="AG12" si="1">(AF12-0)/AF12</f>
        <v>1</v>
      </c>
      <c r="AH12" s="67" t="s">
        <v>419</v>
      </c>
    </row>
    <row r="13" spans="1:40" x14ac:dyDescent="0.4">
      <c r="A13" s="21" t="s">
        <v>211</v>
      </c>
      <c r="B13" s="18">
        <v>2498</v>
      </c>
      <c r="C13" s="10">
        <f>(B13-168)/B13</f>
        <v>0.932746196957566</v>
      </c>
      <c r="D13" s="45" t="s">
        <v>420</v>
      </c>
      <c r="E13" s="88">
        <v>304</v>
      </c>
      <c r="F13" s="10">
        <f>1</f>
        <v>1</v>
      </c>
      <c r="G13" s="68" t="s">
        <v>421</v>
      </c>
      <c r="H13" s="83">
        <v>150</v>
      </c>
      <c r="I13" s="10">
        <f>1</f>
        <v>1</v>
      </c>
      <c r="J13" s="45" t="s">
        <v>422</v>
      </c>
      <c r="K13" s="88">
        <v>300</v>
      </c>
      <c r="L13" s="10">
        <f>(K13-8)/K13</f>
        <v>0.97333333333333338</v>
      </c>
      <c r="M13" s="68" t="s">
        <v>423</v>
      </c>
      <c r="N13" s="88">
        <v>96</v>
      </c>
      <c r="O13" s="10">
        <f>(N13-4)/N13</f>
        <v>0.95833333333333337</v>
      </c>
      <c r="P13" s="68" t="s">
        <v>424</v>
      </c>
      <c r="Q13" s="83">
        <v>300</v>
      </c>
      <c r="R13" s="10">
        <f>(Q13-6)/Q13</f>
        <v>0.98</v>
      </c>
      <c r="S13" s="45" t="s">
        <v>425</v>
      </c>
      <c r="T13" s="88">
        <v>281</v>
      </c>
      <c r="U13" s="10">
        <f>(T13-10)/T13</f>
        <v>0.96441281138790036</v>
      </c>
      <c r="V13" s="68" t="s">
        <v>426</v>
      </c>
      <c r="W13" s="83">
        <v>181</v>
      </c>
      <c r="X13" s="10">
        <f>(W13-28)/W13</f>
        <v>0.84530386740331487</v>
      </c>
      <c r="Y13" s="45" t="s">
        <v>427</v>
      </c>
      <c r="Z13" s="88">
        <v>287</v>
      </c>
      <c r="AA13" s="10">
        <f>(Z13-6)/Z13</f>
        <v>0.97909407665505221</v>
      </c>
      <c r="AB13" s="68" t="s">
        <v>428</v>
      </c>
      <c r="AC13" s="83">
        <v>299</v>
      </c>
      <c r="AD13" s="10">
        <f>(AC13-40)/AC13</f>
        <v>0.86622073578595316</v>
      </c>
      <c r="AE13" s="45" t="s">
        <v>429</v>
      </c>
      <c r="AF13" s="88">
        <v>300</v>
      </c>
      <c r="AG13" s="10">
        <f>(AF13-56)/AF13</f>
        <v>0.81333333333333335</v>
      </c>
      <c r="AH13" s="68" t="s">
        <v>430</v>
      </c>
    </row>
    <row r="14" spans="1:40" x14ac:dyDescent="0.4">
      <c r="A14" s="20" t="s">
        <v>53</v>
      </c>
      <c r="B14" s="17">
        <v>2499</v>
      </c>
      <c r="C14" s="8">
        <f>(B14-5)/B14</f>
        <v>0.99799919967987194</v>
      </c>
      <c r="D14" s="43" t="s">
        <v>431</v>
      </c>
      <c r="E14" s="87">
        <v>304</v>
      </c>
      <c r="F14" s="8">
        <f>(E14-0)/E14</f>
        <v>1</v>
      </c>
      <c r="G14" s="67" t="s">
        <v>432</v>
      </c>
      <c r="H14" s="82">
        <v>150</v>
      </c>
      <c r="I14" s="8">
        <f>(H14-1)/H14</f>
        <v>0.99333333333333329</v>
      </c>
      <c r="J14" s="43" t="s">
        <v>433</v>
      </c>
      <c r="K14" s="87">
        <v>300</v>
      </c>
      <c r="L14" s="8">
        <f>(K14-0)/K14</f>
        <v>1</v>
      </c>
      <c r="M14" s="67" t="s">
        <v>434</v>
      </c>
      <c r="N14" s="87">
        <v>96</v>
      </c>
      <c r="O14" s="8">
        <f>(N14-0)/N14</f>
        <v>1</v>
      </c>
      <c r="P14" s="67" t="s">
        <v>435</v>
      </c>
      <c r="Q14" s="82">
        <v>300</v>
      </c>
      <c r="R14" s="8">
        <f>(Q14-0)/Q14</f>
        <v>1</v>
      </c>
      <c r="S14" s="43" t="s">
        <v>436</v>
      </c>
      <c r="T14" s="87">
        <v>281</v>
      </c>
      <c r="U14" s="8">
        <f>(T14-2)/T14</f>
        <v>0.99288256227758009</v>
      </c>
      <c r="V14" s="67" t="s">
        <v>437</v>
      </c>
      <c r="W14" s="82">
        <v>181</v>
      </c>
      <c r="X14" s="8">
        <f>(W14-2)/W14</f>
        <v>0.98895027624309395</v>
      </c>
      <c r="Y14" s="43" t="s">
        <v>438</v>
      </c>
      <c r="Z14" s="87">
        <v>287</v>
      </c>
      <c r="AA14" s="8">
        <f>(Z14-0)/Z14</f>
        <v>1</v>
      </c>
      <c r="AB14" s="67" t="s">
        <v>439</v>
      </c>
      <c r="AC14" s="82">
        <v>300</v>
      </c>
      <c r="AD14" s="8">
        <f>(AC14-0)/AC14</f>
        <v>1</v>
      </c>
      <c r="AE14" s="43" t="s">
        <v>440</v>
      </c>
      <c r="AF14" s="87">
        <v>300</v>
      </c>
      <c r="AG14" s="8">
        <f>(AF14-0)/AF14</f>
        <v>1</v>
      </c>
      <c r="AH14" s="67" t="s">
        <v>441</v>
      </c>
    </row>
    <row r="15" spans="1:40" x14ac:dyDescent="0.4">
      <c r="A15" s="20" t="s">
        <v>71</v>
      </c>
      <c r="B15" s="17">
        <v>2499</v>
      </c>
      <c r="C15" s="8">
        <f t="shared" ref="C15:C16" si="2">(B15-5)/B15</f>
        <v>0.99799919967987194</v>
      </c>
      <c r="D15" s="43" t="s">
        <v>442</v>
      </c>
      <c r="E15" s="87">
        <v>304</v>
      </c>
      <c r="F15" s="8">
        <f t="shared" ref="F15:F16" si="3">(E15-0)/E15</f>
        <v>1</v>
      </c>
      <c r="G15" s="67" t="s">
        <v>443</v>
      </c>
      <c r="H15" s="82">
        <v>150</v>
      </c>
      <c r="I15" s="8">
        <f t="shared" ref="I15:I16" si="4">(H15-1)/H15</f>
        <v>0.99333333333333329</v>
      </c>
      <c r="J15" s="43" t="s">
        <v>444</v>
      </c>
      <c r="K15" s="87">
        <v>300</v>
      </c>
      <c r="L15" s="8">
        <f t="shared" ref="L15:L16" si="5">(K15-0)/K15</f>
        <v>1</v>
      </c>
      <c r="M15" s="67" t="s">
        <v>445</v>
      </c>
      <c r="N15" s="87">
        <v>96</v>
      </c>
      <c r="O15" s="8">
        <f t="shared" ref="O15:O16" si="6">(N15-0)/N15</f>
        <v>1</v>
      </c>
      <c r="P15" s="67" t="s">
        <v>446</v>
      </c>
      <c r="Q15" s="82">
        <v>300</v>
      </c>
      <c r="R15" s="8">
        <f t="shared" ref="R15:R16" si="7">(Q15-0)/Q15</f>
        <v>1</v>
      </c>
      <c r="S15" s="43" t="s">
        <v>447</v>
      </c>
      <c r="T15" s="87">
        <v>281</v>
      </c>
      <c r="U15" s="8">
        <f>(T15-0)/T15</f>
        <v>1</v>
      </c>
      <c r="V15" s="67" t="s">
        <v>448</v>
      </c>
      <c r="W15" s="82">
        <v>181</v>
      </c>
      <c r="X15" s="8">
        <f t="shared" ref="X15" si="8">(W15-0)/W15</f>
        <v>1</v>
      </c>
      <c r="Y15" s="43" t="s">
        <v>449</v>
      </c>
      <c r="Z15" s="87">
        <v>287</v>
      </c>
      <c r="AA15" s="8">
        <f t="shared" ref="AA15:AA16" si="9">(Z15-0)/Z15</f>
        <v>1</v>
      </c>
      <c r="AB15" s="67" t="s">
        <v>450</v>
      </c>
      <c r="AC15" s="82">
        <v>300</v>
      </c>
      <c r="AD15" s="8">
        <f t="shared" ref="AD15:AD16" si="10">(AC15-0)/AC15</f>
        <v>1</v>
      </c>
      <c r="AE15" s="43" t="s">
        <v>451</v>
      </c>
      <c r="AF15" s="87">
        <v>300</v>
      </c>
      <c r="AG15" s="8">
        <f t="shared" ref="AG15:AG16" si="11">(AF15-0)/AF15</f>
        <v>1</v>
      </c>
      <c r="AH15" s="67" t="s">
        <v>452</v>
      </c>
    </row>
    <row r="16" spans="1:40" x14ac:dyDescent="0.4">
      <c r="A16" s="21" t="s">
        <v>246</v>
      </c>
      <c r="B16" s="18">
        <v>2499</v>
      </c>
      <c r="C16" s="10">
        <f t="shared" si="2"/>
        <v>0.99799919967987194</v>
      </c>
      <c r="D16" s="45" t="s">
        <v>453</v>
      </c>
      <c r="E16" s="88">
        <v>304</v>
      </c>
      <c r="F16" s="10">
        <f t="shared" si="3"/>
        <v>1</v>
      </c>
      <c r="G16" s="68" t="s">
        <v>454</v>
      </c>
      <c r="H16" s="83">
        <v>150</v>
      </c>
      <c r="I16" s="10">
        <f t="shared" si="4"/>
        <v>0.99333333333333329</v>
      </c>
      <c r="J16" s="45" t="s">
        <v>455</v>
      </c>
      <c r="K16" s="88">
        <v>300</v>
      </c>
      <c r="L16" s="10">
        <f t="shared" si="5"/>
        <v>1</v>
      </c>
      <c r="M16" s="68" t="s">
        <v>456</v>
      </c>
      <c r="N16" s="88">
        <v>96</v>
      </c>
      <c r="O16" s="10">
        <f t="shared" si="6"/>
        <v>1</v>
      </c>
      <c r="P16" s="68" t="s">
        <v>457</v>
      </c>
      <c r="Q16" s="83">
        <v>300</v>
      </c>
      <c r="R16" s="10">
        <f t="shared" si="7"/>
        <v>1</v>
      </c>
      <c r="S16" s="45" t="s">
        <v>458</v>
      </c>
      <c r="T16" s="88">
        <v>281</v>
      </c>
      <c r="U16" s="10">
        <f t="shared" ref="U16" si="12">(T16-2)/T16</f>
        <v>0.99288256227758009</v>
      </c>
      <c r="V16" s="68" t="s">
        <v>459</v>
      </c>
      <c r="W16" s="83">
        <v>181</v>
      </c>
      <c r="X16" s="10">
        <f>(W16-2)/W16</f>
        <v>0.98895027624309395</v>
      </c>
      <c r="Y16" s="45" t="s">
        <v>460</v>
      </c>
      <c r="Z16" s="88">
        <v>287</v>
      </c>
      <c r="AA16" s="10">
        <f t="shared" si="9"/>
        <v>1</v>
      </c>
      <c r="AB16" s="68" t="s">
        <v>461</v>
      </c>
      <c r="AC16" s="83">
        <v>300</v>
      </c>
      <c r="AD16" s="10">
        <f t="shared" si="10"/>
        <v>1</v>
      </c>
      <c r="AE16" s="45" t="s">
        <v>462</v>
      </c>
      <c r="AF16" s="88">
        <v>300</v>
      </c>
      <c r="AG16" s="10">
        <f t="shared" si="11"/>
        <v>1</v>
      </c>
      <c r="AH16" s="68" t="s">
        <v>463</v>
      </c>
    </row>
    <row r="17" spans="1:82" s="4" customFormat="1" x14ac:dyDescent="0.4">
      <c r="A17" s="20" t="s">
        <v>67</v>
      </c>
      <c r="B17" s="17">
        <v>2499</v>
      </c>
      <c r="C17" s="8">
        <f>(B17-325)/B17</f>
        <v>0.86994797919167666</v>
      </c>
      <c r="D17" s="43" t="s">
        <v>464</v>
      </c>
      <c r="E17" s="87">
        <v>304</v>
      </c>
      <c r="F17" s="8">
        <f>(E17-3)/E17</f>
        <v>0.99013157894736847</v>
      </c>
      <c r="G17" s="67" t="s">
        <v>465</v>
      </c>
      <c r="H17" s="82">
        <v>150</v>
      </c>
      <c r="I17" s="8">
        <f>(H17-7)/H17</f>
        <v>0.95333333333333337</v>
      </c>
      <c r="J17" s="43" t="s">
        <v>466</v>
      </c>
      <c r="K17" s="87">
        <v>300</v>
      </c>
      <c r="L17" s="8">
        <f>(K17-11)/K17</f>
        <v>0.96333333333333337</v>
      </c>
      <c r="M17" s="67" t="s">
        <v>163</v>
      </c>
      <c r="N17" s="87">
        <v>96</v>
      </c>
      <c r="O17" s="8">
        <f>(N17-2)/N17</f>
        <v>0.97916666666666663</v>
      </c>
      <c r="P17" s="67" t="s">
        <v>467</v>
      </c>
      <c r="Q17" s="82">
        <v>300</v>
      </c>
      <c r="R17" s="8">
        <f>(Q17-2)/Q17</f>
        <v>0.99333333333333329</v>
      </c>
      <c r="S17" s="43" t="s">
        <v>468</v>
      </c>
      <c r="T17" s="87">
        <v>281</v>
      </c>
      <c r="U17" s="8">
        <f>(T17-19)/T17</f>
        <v>0.93238434163701067</v>
      </c>
      <c r="V17" s="67" t="s">
        <v>266</v>
      </c>
      <c r="W17" s="82">
        <v>181</v>
      </c>
      <c r="X17" s="8">
        <f>(W17-0)/W17</f>
        <v>1</v>
      </c>
      <c r="Y17" s="43" t="s">
        <v>469</v>
      </c>
      <c r="Z17" s="87"/>
      <c r="AA17" s="9"/>
      <c r="AB17" s="67" t="s">
        <v>470</v>
      </c>
      <c r="AC17" s="82">
        <v>300</v>
      </c>
      <c r="AD17" s="8">
        <f>(AC17-8)/AC17</f>
        <v>0.97333333333333338</v>
      </c>
      <c r="AE17" s="43" t="s">
        <v>471</v>
      </c>
      <c r="AF17" s="87">
        <v>300</v>
      </c>
      <c r="AG17" s="8">
        <f>(AF17-25)/AF17</f>
        <v>0.91666666666666663</v>
      </c>
      <c r="AH17" s="67" t="s">
        <v>472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 s="2" customFormat="1" x14ac:dyDescent="0.4">
      <c r="A18" s="20" t="s">
        <v>269</v>
      </c>
      <c r="B18" s="17">
        <v>1881</v>
      </c>
      <c r="C18" s="8">
        <f>(B18-72)/B18</f>
        <v>0.96172248803827753</v>
      </c>
      <c r="D18" s="43" t="s">
        <v>473</v>
      </c>
      <c r="E18" s="87">
        <v>304</v>
      </c>
      <c r="F18" s="8">
        <f t="shared" ref="F18:F19" si="13">(E18-3)/E18</f>
        <v>0.99013157894736847</v>
      </c>
      <c r="G18" s="67" t="s">
        <v>164</v>
      </c>
      <c r="H18" s="82"/>
      <c r="I18" s="8"/>
      <c r="J18" s="43" t="s">
        <v>123</v>
      </c>
      <c r="K18" s="87">
        <v>300</v>
      </c>
      <c r="L18" s="8">
        <f>(K18-10)/K18</f>
        <v>0.96666666666666667</v>
      </c>
      <c r="M18" s="67" t="s">
        <v>474</v>
      </c>
      <c r="N18" s="87">
        <v>96</v>
      </c>
      <c r="O18" s="8">
        <f>(N18-4)/N18</f>
        <v>0.95833333333333337</v>
      </c>
      <c r="P18" s="67" t="s">
        <v>472</v>
      </c>
      <c r="Q18" s="82">
        <v>300</v>
      </c>
      <c r="R18" s="8">
        <f>(Q18-15)/Q18</f>
        <v>0.95</v>
      </c>
      <c r="S18" s="43" t="s">
        <v>475</v>
      </c>
      <c r="T18" s="87">
        <v>281</v>
      </c>
      <c r="U18" s="8">
        <f>(T18-24)/T18</f>
        <v>0.91459074733096091</v>
      </c>
      <c r="V18" s="67" t="s">
        <v>476</v>
      </c>
      <c r="W18" s="82"/>
      <c r="X18" s="8"/>
      <c r="Y18" s="43" t="s">
        <v>123</v>
      </c>
      <c r="Z18" s="87"/>
      <c r="AA18" s="8"/>
      <c r="AB18" s="67" t="s">
        <v>123</v>
      </c>
      <c r="AC18" s="82">
        <v>300</v>
      </c>
      <c r="AD18" s="8">
        <f>(AC18-16)/AC18</f>
        <v>0.94666666666666666</v>
      </c>
      <c r="AE18" s="43" t="s">
        <v>270</v>
      </c>
      <c r="AF18" s="87">
        <v>300</v>
      </c>
      <c r="AG18" s="8">
        <f>(AF18-0)/AF18</f>
        <v>1</v>
      </c>
      <c r="AH18" s="67" t="s">
        <v>477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 x14ac:dyDescent="0.4">
      <c r="A19" s="21" t="s">
        <v>277</v>
      </c>
      <c r="B19" s="18">
        <v>1881</v>
      </c>
      <c r="C19" s="10">
        <f>(B19-325)/B19</f>
        <v>0.8272195640616693</v>
      </c>
      <c r="D19" s="45" t="s">
        <v>259</v>
      </c>
      <c r="E19" s="88">
        <v>304</v>
      </c>
      <c r="F19" s="10">
        <f t="shared" si="13"/>
        <v>0.99013157894736847</v>
      </c>
      <c r="G19" s="68" t="s">
        <v>478</v>
      </c>
      <c r="H19" s="83"/>
      <c r="I19" s="10"/>
      <c r="J19" s="45" t="s">
        <v>123</v>
      </c>
      <c r="K19" s="88">
        <v>300</v>
      </c>
      <c r="L19" s="10">
        <f t="shared" ref="L19" si="14">(K19-11)/K19</f>
        <v>0.96333333333333337</v>
      </c>
      <c r="M19" s="68" t="s">
        <v>479</v>
      </c>
      <c r="N19" s="88">
        <v>96</v>
      </c>
      <c r="O19" s="10">
        <f>(N19-4)/N19</f>
        <v>0.95833333333333337</v>
      </c>
      <c r="P19" s="68" t="s">
        <v>480</v>
      </c>
      <c r="Q19" s="83">
        <v>300</v>
      </c>
      <c r="R19" s="10">
        <f>(Q19-15)/Q19</f>
        <v>0.95</v>
      </c>
      <c r="S19" s="45" t="s">
        <v>481</v>
      </c>
      <c r="T19" s="88">
        <v>281</v>
      </c>
      <c r="U19" s="10">
        <f>(T19-24)/T19</f>
        <v>0.91459074733096091</v>
      </c>
      <c r="V19" s="68" t="s">
        <v>482</v>
      </c>
      <c r="W19" s="83"/>
      <c r="X19" s="10"/>
      <c r="Y19" s="45" t="s">
        <v>123</v>
      </c>
      <c r="Z19" s="88"/>
      <c r="AA19" s="10"/>
      <c r="AB19" s="68" t="s">
        <v>123</v>
      </c>
      <c r="AC19" s="83">
        <v>300</v>
      </c>
      <c r="AD19" s="10">
        <f>(AC19-16)/AC19</f>
        <v>0.94666666666666666</v>
      </c>
      <c r="AE19" s="45" t="s">
        <v>483</v>
      </c>
      <c r="AF19" s="88">
        <v>300</v>
      </c>
      <c r="AG19" s="10">
        <f t="shared" ref="AG19" si="15">(AF19-25)/AF19</f>
        <v>0.91666666666666663</v>
      </c>
      <c r="AH19" s="68" t="s">
        <v>484</v>
      </c>
    </row>
    <row r="20" spans="1:82" s="4" customFormat="1" x14ac:dyDescent="0.4">
      <c r="A20" s="20" t="s">
        <v>80</v>
      </c>
      <c r="B20" s="17">
        <v>2499</v>
      </c>
      <c r="C20" s="8">
        <f>(B20-30)/B20</f>
        <v>0.98799519807923164</v>
      </c>
      <c r="D20" s="43" t="s">
        <v>485</v>
      </c>
      <c r="E20" s="87">
        <v>304</v>
      </c>
      <c r="F20" s="8">
        <f>(E20-0)/E20</f>
        <v>1</v>
      </c>
      <c r="G20" s="67" t="s">
        <v>486</v>
      </c>
      <c r="H20" s="82">
        <v>150</v>
      </c>
      <c r="I20" s="8">
        <f>(H20-9)/H20</f>
        <v>0.94</v>
      </c>
      <c r="J20" s="43" t="s">
        <v>487</v>
      </c>
      <c r="K20" s="87">
        <v>300</v>
      </c>
      <c r="L20" s="8">
        <f>(K20-0)/K20</f>
        <v>1</v>
      </c>
      <c r="M20" s="67" t="s">
        <v>488</v>
      </c>
      <c r="N20" s="87">
        <v>96</v>
      </c>
      <c r="O20" s="8">
        <f>(N20-0)/N20</f>
        <v>1</v>
      </c>
      <c r="P20" s="67" t="s">
        <v>465</v>
      </c>
      <c r="Q20" s="82">
        <v>300</v>
      </c>
      <c r="R20" s="8">
        <f>(Q20-7)/Q20</f>
        <v>0.97666666666666668</v>
      </c>
      <c r="S20" s="43" t="s">
        <v>489</v>
      </c>
      <c r="T20" s="87">
        <v>281</v>
      </c>
      <c r="U20" s="8">
        <f>(T20-1)/T20</f>
        <v>0.99644128113879005</v>
      </c>
      <c r="V20" s="67" t="s">
        <v>490</v>
      </c>
      <c r="W20" s="82">
        <v>181</v>
      </c>
      <c r="X20" s="8">
        <f>(W20-0)/W20</f>
        <v>1</v>
      </c>
      <c r="Y20" s="43" t="s">
        <v>491</v>
      </c>
      <c r="Z20" s="87">
        <v>287</v>
      </c>
      <c r="AA20" s="8">
        <f>(Z20-0)/Z20</f>
        <v>1</v>
      </c>
      <c r="AB20" s="67" t="s">
        <v>492</v>
      </c>
      <c r="AC20" s="82">
        <v>300</v>
      </c>
      <c r="AD20" s="8">
        <f>(AC20-0)/AC20</f>
        <v>1</v>
      </c>
      <c r="AE20" s="43" t="s">
        <v>493</v>
      </c>
      <c r="AF20" s="87">
        <v>300</v>
      </c>
      <c r="AG20" s="8">
        <f>(AF20-13)/AF20</f>
        <v>0.95666666666666667</v>
      </c>
      <c r="AH20" s="67" t="s">
        <v>494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 s="2" customFormat="1" x14ac:dyDescent="0.4">
      <c r="A21" s="20" t="s">
        <v>495</v>
      </c>
      <c r="B21" s="17">
        <v>2317</v>
      </c>
      <c r="C21" s="8">
        <f>(B21-52)/B21</f>
        <v>0.97755718601640051</v>
      </c>
      <c r="D21" s="43" t="s">
        <v>496</v>
      </c>
      <c r="E21" s="87">
        <v>304</v>
      </c>
      <c r="F21" s="8">
        <f t="shared" ref="F21:F22" si="16">(E21-0)/E21</f>
        <v>1</v>
      </c>
      <c r="G21" s="67" t="s">
        <v>497</v>
      </c>
      <c r="H21" s="82">
        <v>150</v>
      </c>
      <c r="I21" s="8">
        <f>(H21-16)/H21</f>
        <v>0.89333333333333331</v>
      </c>
      <c r="J21" s="43" t="s">
        <v>498</v>
      </c>
      <c r="K21" s="87">
        <v>300</v>
      </c>
      <c r="L21" s="8">
        <f>(K21-3)/K21</f>
        <v>0.99</v>
      </c>
      <c r="M21" s="67" t="s">
        <v>499</v>
      </c>
      <c r="N21" s="87">
        <v>96</v>
      </c>
      <c r="O21" s="8">
        <f t="shared" ref="O21:O22" si="17">(N21-0)/N21</f>
        <v>1</v>
      </c>
      <c r="P21" s="67" t="s">
        <v>500</v>
      </c>
      <c r="Q21" s="82">
        <v>300</v>
      </c>
      <c r="R21" s="8">
        <f>(Q21-6)/Q21</f>
        <v>0.98</v>
      </c>
      <c r="S21" s="43" t="s">
        <v>501</v>
      </c>
      <c r="T21" s="87">
        <v>281</v>
      </c>
      <c r="U21" s="8">
        <f>(T21-16)/T21</f>
        <v>0.94306049822064053</v>
      </c>
      <c r="V21" s="67" t="s">
        <v>165</v>
      </c>
      <c r="W21" s="82"/>
      <c r="X21" s="8"/>
      <c r="Y21" s="43" t="s">
        <v>123</v>
      </c>
      <c r="Z21" s="87">
        <v>287</v>
      </c>
      <c r="AA21" s="8">
        <f>(Z21-2)/Z21</f>
        <v>0.99303135888501737</v>
      </c>
      <c r="AB21" s="67" t="s">
        <v>501</v>
      </c>
      <c r="AC21" s="82">
        <v>299</v>
      </c>
      <c r="AD21" s="8">
        <f>(AC21-4)/AC21</f>
        <v>0.98662207357859533</v>
      </c>
      <c r="AE21" s="43" t="s">
        <v>502</v>
      </c>
      <c r="AF21" s="87">
        <v>300</v>
      </c>
      <c r="AG21" s="8">
        <f>(AF21-5)/AF21</f>
        <v>0.98333333333333328</v>
      </c>
      <c r="AH21" s="67" t="s">
        <v>164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 ht="15" thickBot="1" x14ac:dyDescent="0.45">
      <c r="A22" s="29" t="s">
        <v>309</v>
      </c>
      <c r="B22" s="36">
        <v>2317</v>
      </c>
      <c r="C22" s="25">
        <f>(B22-52)/B22</f>
        <v>0.97755718601640051</v>
      </c>
      <c r="D22" s="80" t="s">
        <v>503</v>
      </c>
      <c r="E22" s="89">
        <v>304</v>
      </c>
      <c r="F22" s="25">
        <f t="shared" si="16"/>
        <v>1</v>
      </c>
      <c r="G22" s="69" t="s">
        <v>504</v>
      </c>
      <c r="H22" s="84">
        <v>150</v>
      </c>
      <c r="I22" s="25">
        <f>(H22-16)/H22</f>
        <v>0.89333333333333331</v>
      </c>
      <c r="J22" s="80" t="s">
        <v>505</v>
      </c>
      <c r="K22" s="89">
        <v>300</v>
      </c>
      <c r="L22" s="25">
        <f>(K22-3)/K22</f>
        <v>0.99</v>
      </c>
      <c r="M22" s="69" t="s">
        <v>506</v>
      </c>
      <c r="N22" s="89">
        <v>96</v>
      </c>
      <c r="O22" s="25">
        <f t="shared" si="17"/>
        <v>1</v>
      </c>
      <c r="P22" s="69" t="s">
        <v>507</v>
      </c>
      <c r="Q22" s="84">
        <v>300</v>
      </c>
      <c r="R22" s="25">
        <f t="shared" ref="R22" si="18">(Q22-7)/Q22</f>
        <v>0.97666666666666668</v>
      </c>
      <c r="S22" s="80" t="s">
        <v>508</v>
      </c>
      <c r="T22" s="89">
        <v>281</v>
      </c>
      <c r="U22" s="25">
        <f>(T22-16)/T22</f>
        <v>0.94306049822064053</v>
      </c>
      <c r="V22" s="69" t="s">
        <v>509</v>
      </c>
      <c r="W22" s="84"/>
      <c r="X22" s="25"/>
      <c r="Y22" s="80" t="s">
        <v>123</v>
      </c>
      <c r="Z22" s="89">
        <v>287</v>
      </c>
      <c r="AA22" s="25">
        <f>(Z22-2)/Z22</f>
        <v>0.99303135888501737</v>
      </c>
      <c r="AB22" s="69" t="s">
        <v>510</v>
      </c>
      <c r="AC22" s="84">
        <v>299</v>
      </c>
      <c r="AD22" s="25">
        <f>(AC22-4)/AC22</f>
        <v>0.98662207357859533</v>
      </c>
      <c r="AE22" s="80" t="s">
        <v>511</v>
      </c>
      <c r="AF22" s="89">
        <v>300</v>
      </c>
      <c r="AG22" s="25">
        <f t="shared" ref="AG22" si="19">(AF22-13)/AF22</f>
        <v>0.95666666666666667</v>
      </c>
      <c r="AH22" s="69" t="s">
        <v>512</v>
      </c>
    </row>
    <row r="23" spans="1:82" ht="142" customHeight="1" x14ac:dyDescent="0.4">
      <c r="B23" s="99" t="s">
        <v>516</v>
      </c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</row>
    <row r="25" spans="1:82" x14ac:dyDescent="0.4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114"/>
      <c r="O25" s="99"/>
      <c r="P25" s="99"/>
      <c r="Q25" s="114"/>
      <c r="R25" s="99"/>
      <c r="S25" s="99"/>
      <c r="T25" s="114"/>
      <c r="U25" s="99"/>
      <c r="V25" s="99"/>
      <c r="W25" s="114"/>
      <c r="X25" s="99"/>
      <c r="Y25" s="99"/>
      <c r="Z25" s="114"/>
      <c r="AA25" s="99"/>
      <c r="AB25" s="99"/>
      <c r="AC25" s="114"/>
      <c r="AD25" s="99"/>
      <c r="AE25" s="99"/>
      <c r="AF25" s="114"/>
      <c r="AG25" s="99"/>
      <c r="AH25" s="99"/>
      <c r="AI25" s="99"/>
      <c r="AJ25" s="99"/>
      <c r="AK25" s="99"/>
      <c r="AL25" s="99"/>
      <c r="AM25" s="99"/>
      <c r="AN25" s="99"/>
    </row>
  </sheetData>
  <mergeCells count="15">
    <mergeCell ref="A25:AN25"/>
    <mergeCell ref="A1:AN1"/>
    <mergeCell ref="E3:G3"/>
    <mergeCell ref="K3:M3"/>
    <mergeCell ref="N3:P3"/>
    <mergeCell ref="Q3:S3"/>
    <mergeCell ref="T3:V3"/>
    <mergeCell ref="W3:Y3"/>
    <mergeCell ref="Z3:AB3"/>
    <mergeCell ref="AC3:AE3"/>
    <mergeCell ref="AF3:AH3"/>
    <mergeCell ref="B3:D3"/>
    <mergeCell ref="B23:AH23"/>
    <mergeCell ref="H3:J3"/>
    <mergeCell ref="A2:AH2"/>
  </mergeCells>
  <pageMargins left="0.7" right="0.7" top="0.75" bottom="0.75" header="0.3" footer="0.3"/>
  <pageSetup paperSize="9" orientation="portrait" r:id="rId1"/>
  <ignoredErrors>
    <ignoredError sqref="C18 L18 O9 R21 U15 X9 X15:X16 AA11 AD13 AG13 AG17:AG18 AG2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E6FB-A52B-4D8B-AE41-63028EA82097}">
  <dimension ref="A1:G12"/>
  <sheetViews>
    <sheetView workbookViewId="0">
      <selection activeCell="G12" sqref="A3:G12"/>
    </sheetView>
  </sheetViews>
  <sheetFormatPr baseColWidth="10" defaultColWidth="11.3828125" defaultRowHeight="14.6" x14ac:dyDescent="0.4"/>
  <cols>
    <col min="4" max="4" width="16.3828125" customWidth="1"/>
    <col min="7" max="7" width="18.53515625" customWidth="1"/>
  </cols>
  <sheetData>
    <row r="1" spans="1:7" x14ac:dyDescent="0.4">
      <c r="A1" t="s">
        <v>513</v>
      </c>
    </row>
    <row r="3" spans="1:7" ht="15.9" x14ac:dyDescent="0.45">
      <c r="A3" s="91" t="s">
        <v>88</v>
      </c>
      <c r="B3" s="124" t="s">
        <v>89</v>
      </c>
      <c r="C3" s="124"/>
      <c r="D3" s="124"/>
      <c r="E3" s="125" t="s">
        <v>323</v>
      </c>
      <c r="F3" s="125"/>
      <c r="G3" s="125"/>
    </row>
    <row r="4" spans="1:7" ht="17.7" customHeight="1" x14ac:dyDescent="0.45">
      <c r="A4" s="92"/>
      <c r="B4" s="93" t="s">
        <v>102</v>
      </c>
      <c r="C4" s="92" t="s">
        <v>103</v>
      </c>
      <c r="D4" s="92" t="s">
        <v>514</v>
      </c>
      <c r="E4" s="6" t="s">
        <v>102</v>
      </c>
      <c r="F4" s="6" t="s">
        <v>103</v>
      </c>
      <c r="G4" s="97" t="s">
        <v>515</v>
      </c>
    </row>
    <row r="5" spans="1:7" x14ac:dyDescent="0.4">
      <c r="A5" s="94" t="s">
        <v>12</v>
      </c>
      <c r="B5" s="5">
        <v>2876</v>
      </c>
      <c r="C5" s="96">
        <f>(B5-8)/B5</f>
        <v>0.99721835883171073</v>
      </c>
      <c r="D5" t="s">
        <v>105</v>
      </c>
      <c r="E5" s="95">
        <v>2499</v>
      </c>
      <c r="F5" s="96">
        <f>1</f>
        <v>1</v>
      </c>
      <c r="G5" t="s">
        <v>335</v>
      </c>
    </row>
    <row r="6" spans="1:7" x14ac:dyDescent="0.4">
      <c r="A6" s="94" t="s">
        <v>18</v>
      </c>
      <c r="B6" s="5">
        <v>2575</v>
      </c>
      <c r="C6" s="96">
        <f>1</f>
        <v>1</v>
      </c>
      <c r="D6" t="s">
        <v>118</v>
      </c>
      <c r="E6" s="95">
        <v>1918</v>
      </c>
      <c r="F6" s="96">
        <f>(E6-4)/E6</f>
        <v>0.99791449426485923</v>
      </c>
      <c r="G6" t="s">
        <v>346</v>
      </c>
    </row>
    <row r="7" spans="1:7" x14ac:dyDescent="0.4">
      <c r="A7" s="94" t="s">
        <v>24</v>
      </c>
      <c r="B7" s="5">
        <v>2875</v>
      </c>
      <c r="C7" s="96">
        <f>(B7-4)/B7</f>
        <v>0.99860869565217392</v>
      </c>
      <c r="D7" t="s">
        <v>131</v>
      </c>
      <c r="E7" s="95">
        <v>2199</v>
      </c>
      <c r="F7" s="96">
        <f>(E7-3)/E7</f>
        <v>0.99863574351978168</v>
      </c>
      <c r="G7" t="s">
        <v>355</v>
      </c>
    </row>
    <row r="8" spans="1:7" x14ac:dyDescent="0.4">
      <c r="A8" s="94" t="s">
        <v>30</v>
      </c>
      <c r="B8" s="5">
        <v>2875</v>
      </c>
      <c r="C8" s="96">
        <f>(B8-73)/B8</f>
        <v>0.9746086956521739</v>
      </c>
      <c r="D8" t="s">
        <v>144</v>
      </c>
      <c r="E8" s="95">
        <v>2499</v>
      </c>
      <c r="F8" s="96">
        <f>(E8-72)/E8</f>
        <v>0.97118847539015607</v>
      </c>
      <c r="G8" t="s">
        <v>365</v>
      </c>
    </row>
    <row r="9" spans="1:7" x14ac:dyDescent="0.4">
      <c r="A9" s="94" t="s">
        <v>211</v>
      </c>
      <c r="B9" s="5">
        <v>2574</v>
      </c>
      <c r="C9" s="96">
        <f>(B9-229)/B9</f>
        <v>0.91103341103341107</v>
      </c>
      <c r="D9" t="s">
        <v>212</v>
      </c>
      <c r="E9" s="95">
        <v>2498</v>
      </c>
      <c r="F9" s="96">
        <f>(E9-168)/E9</f>
        <v>0.932746196957566</v>
      </c>
      <c r="G9" t="s">
        <v>420</v>
      </c>
    </row>
    <row r="10" spans="1:7" x14ac:dyDescent="0.4">
      <c r="A10" s="94" t="s">
        <v>246</v>
      </c>
      <c r="B10" s="5">
        <v>2280</v>
      </c>
      <c r="C10" s="96">
        <f>(B10-55)/B10</f>
        <v>0.97587719298245612</v>
      </c>
      <c r="D10" t="s">
        <v>247</v>
      </c>
      <c r="E10" s="95">
        <v>2499</v>
      </c>
      <c r="F10" s="96">
        <f t="shared" ref="F10" si="0">(E10-5)/E10</f>
        <v>0.99799919967987194</v>
      </c>
      <c r="G10" t="s">
        <v>453</v>
      </c>
    </row>
    <row r="11" spans="1:7" x14ac:dyDescent="0.4">
      <c r="A11" s="94" t="s">
        <v>277</v>
      </c>
      <c r="B11" s="5">
        <v>1819</v>
      </c>
      <c r="C11" s="96">
        <f>(B11-187)/B11</f>
        <v>0.89719626168224298</v>
      </c>
      <c r="D11" t="s">
        <v>278</v>
      </c>
      <c r="E11" s="95">
        <v>1881</v>
      </c>
      <c r="F11" s="96">
        <f>(E11-325)/E11</f>
        <v>0.8272195640616693</v>
      </c>
      <c r="G11" t="s">
        <v>259</v>
      </c>
    </row>
    <row r="12" spans="1:7" x14ac:dyDescent="0.4">
      <c r="A12" s="94" t="s">
        <v>309</v>
      </c>
      <c r="B12" s="5">
        <v>2575</v>
      </c>
      <c r="C12" s="96">
        <f>(B12-99)/B12</f>
        <v>0.96155339805825246</v>
      </c>
      <c r="D12" t="s">
        <v>310</v>
      </c>
      <c r="E12" s="95">
        <v>2317</v>
      </c>
      <c r="F12" s="96">
        <f>(E12-52)/E12</f>
        <v>0.97755718601640051</v>
      </c>
      <c r="G12" t="s">
        <v>503</v>
      </c>
    </row>
  </sheetData>
  <mergeCells count="2">
    <mergeCell ref="B3:D3"/>
    <mergeCell ref="E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C1A8B564330C47A06156287150FB76" ma:contentTypeVersion="11" ma:contentTypeDescription="Opprett et nytt dokument." ma:contentTypeScope="" ma:versionID="c8d3fef77663cbbb603ef8e95771bb2a">
  <xsd:schema xmlns:xsd="http://www.w3.org/2001/XMLSchema" xmlns:xs="http://www.w3.org/2001/XMLSchema" xmlns:p="http://schemas.microsoft.com/office/2006/metadata/properties" xmlns:ns2="9e7c1b5f-6b93-4ee4-9fa2-fda8f1b47cf5" xmlns:ns3="487b980e-477f-4383-9153-bfad679df12c" xmlns:ns4="0de5162c-f91c-4abb-ab76-6860bfc39b92" targetNamespace="http://schemas.microsoft.com/office/2006/metadata/properties" ma:root="true" ma:fieldsID="f28d99476850aef8568e6441613181af" ns2:_="" ns3:_="" ns4:_="">
    <xsd:import namespace="9e7c1b5f-6b93-4ee4-9fa2-fda8f1b47cf5"/>
    <xsd:import namespace="487b980e-477f-4383-9153-bfad679df12c"/>
    <xsd:import namespace="0de5162c-f91c-4abb-ab76-6860bfc39b92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uman miljøbiobank|36c3f6b5-76bc-4683-941c-935a14cbd568;#2;#Miljøeksponering|d9196c48-ce51-47cd-b0d2-6ebc45d8709a;#3;#Miljøgifter|1ee0abd5-69a2-4079-b1f6-5ac0fdea1077;#4;#Toksikologi|157e3eee-08a2-400d-86cd-9fb22678d80e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b980e-477f-4383-9153-bfad679df12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a6f2dd5d-af6d-4e07-8a3b-79b67b112985}" ma:internalName="TaxCatchAll" ma:showField="CatchAllData" ma:web="487b980e-477f-4383-9153-bfad679df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5162c-f91c-4abb-ab76-6860bfc39b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7b980e-477f-4383-9153-bfad679df12c">
      <Value>4</Value>
      <Value>3</Value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Human miljøbiobank</TermName>
          <TermId xmlns="http://schemas.microsoft.com/office/infopath/2007/PartnerControls">36c3f6b5-76bc-4683-941c-935a14cbd568</TermId>
        </TermInfo>
        <TermInfo xmlns="http://schemas.microsoft.com/office/infopath/2007/PartnerControls">
          <TermName xmlns="http://schemas.microsoft.com/office/infopath/2007/PartnerControls">Miljøeksponering</TermName>
          <TermId xmlns="http://schemas.microsoft.com/office/infopath/2007/PartnerControls">d9196c48-ce51-47cd-b0d2-6ebc45d8709a</TermId>
        </TermInfo>
        <TermInfo xmlns="http://schemas.microsoft.com/office/infopath/2007/PartnerControls">
          <TermName xmlns="http://schemas.microsoft.com/office/infopath/2007/PartnerControls">Miljøgifter</TermName>
          <TermId xmlns="http://schemas.microsoft.com/office/infopath/2007/PartnerControls">1ee0abd5-69a2-4079-b1f6-5ac0fdea1077</TermId>
        </TermInfo>
        <TermInfo xmlns="http://schemas.microsoft.com/office/infopath/2007/PartnerControls">
          <TermName xmlns="http://schemas.microsoft.com/office/infopath/2007/PartnerControls">Toksikologi</TermName>
          <TermId xmlns="http://schemas.microsoft.com/office/infopath/2007/PartnerControls">157e3eee-08a2-400d-86cd-9fb22678d80e</TermId>
        </TermInfo>
      </Terms>
    </FHI_TopicTaxHTField>
    <TaxKeywordTaxHTField xmlns="487b980e-477f-4383-9153-bfad679df12c">
      <Terms xmlns="http://schemas.microsoft.com/office/infopath/2007/PartnerControls"/>
    </TaxKeyword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469FC1-BD4A-42BE-B6A2-2C19FB184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487b980e-477f-4383-9153-bfad679df12c"/>
    <ds:schemaRef ds:uri="0de5162c-f91c-4abb-ab76-6860bfc39b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82F9-432E-4645-9EFD-C3D8FAAA9792}">
  <ds:schemaRefs>
    <ds:schemaRef ds:uri="http://schemas.microsoft.com/office/2006/metadata/properties"/>
    <ds:schemaRef ds:uri="http://schemas.microsoft.com/office/infopath/2007/PartnerControls"/>
    <ds:schemaRef ds:uri="487b980e-477f-4383-9153-bfad679df12c"/>
    <ds:schemaRef ds:uri="9e7c1b5f-6b93-4ee4-9fa2-fda8f1b47cf5"/>
  </ds:schemaRefs>
</ds:datastoreItem>
</file>

<file path=customXml/itemProps3.xml><?xml version="1.0" encoding="utf-8"?>
<ds:datastoreItem xmlns:ds="http://schemas.openxmlformats.org/officeDocument/2006/customXml" ds:itemID="{0F631BF3-A3C0-4963-94CE-5AAFF14916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Table S1. Phthalates and DINCH</vt:lpstr>
      <vt:lpstr>Table S2. Children concentrat</vt:lpstr>
      <vt:lpstr>Table S3. Adolescent concentrat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Desalegn, Anteneh Assefa</dc:creator>
  <cp:keywords/>
  <dc:description/>
  <cp:lastModifiedBy>Nina Louise Torcelino-Iszatt</cp:lastModifiedBy>
  <cp:revision/>
  <dcterms:created xsi:type="dcterms:W3CDTF">2022-05-14T19:13:30Z</dcterms:created>
  <dcterms:modified xsi:type="dcterms:W3CDTF">2024-06-27T11:45:27Z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0x01010001C1A8B564330C47A06156287150FB76</vt:lpwstr>
  </property>
  <property fmtid="{D5CDD505-2E9C-101B-9397-08002B2CF9AE}" pid="3" name="TaxKeyword">
    <vt:lpwstr/>
  </property>
  <property fmtid="{D5CDD505-2E9C-101B-9397-08002B2CF9AE}" pid="4" name="FHI_Topic">
    <vt:lpwstr>1;#Human miljøbiobank|36c3f6b5-76bc-4683-941c-935a14cbd568;#2;#Miljøeksponering|d9196c48-ce51-47cd-b0d2-6ebc45d8709a;#3;#Miljøgifter|1ee0abd5-69a2-4079-b1f6-5ac0fdea1077;#4;#Toksikologi|157e3eee-08a2-400d-86cd-9fb22678d80e</vt:lpwstr>
  </property>
</Properties>
</file>